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CjbeHa+rCRvPFKJmpBgcrn6vgtlDGWeyXY57o12ZaKdvHvK9XOQicvPBWIA8pf9ncGrfpdMYYiQ9veTO7tmtfw==" workbookSaltValue="faK58mFWLC3rRx71OYXa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1" i="16"/>
  <c r="BH17" i="16"/>
  <c r="BM16" i="11"/>
  <c r="BL17" i="11"/>
  <c r="BF10" i="11"/>
  <c r="S13" i="16"/>
  <c r="P13" i="16"/>
  <c r="AM13" i="20"/>
  <c r="K18" i="2"/>
  <c r="M13" i="2"/>
  <c r="M18" i="2"/>
  <c r="N13" i="2"/>
  <c r="N18" i="2"/>
  <c r="T13" i="12"/>
  <c r="V11" i="11"/>
  <c r="AP10" i="21"/>
  <c r="BM12" i="11"/>
  <c r="BH9" i="11"/>
  <c r="BI15" i="11"/>
  <c r="BJ15" i="11"/>
  <c r="BJ12" i="11"/>
  <c r="AP15" i="20"/>
  <c r="BG15" i="11"/>
  <c r="R17" i="20"/>
  <c r="BK17" i="11"/>
  <c r="AZ9" i="11"/>
  <c r="AZ13" i="11" s="1"/>
  <c r="AP17" i="20"/>
  <c r="AZ15" i="11"/>
  <c r="AZ18" i="11" s="1"/>
  <c r="BU11" i="17"/>
  <c r="BV17" i="16"/>
  <c r="BU10" i="17"/>
  <c r="BV16" i="16"/>
  <c r="BV12" i="16"/>
  <c r="BW16" i="20"/>
  <c r="BW12" i="20"/>
  <c r="BV15" i="16"/>
  <c r="BV11" i="16"/>
  <c r="BW15" i="20"/>
  <c r="BW11" i="20"/>
  <c r="BU9" i="17"/>
  <c r="U10" i="17"/>
  <c r="BV10" i="16"/>
  <c r="BW10" i="20"/>
  <c r="BU17" i="17"/>
  <c r="V12" i="16"/>
  <c r="S11" i="17"/>
  <c r="BU16" i="17"/>
  <c r="BU12" i="17"/>
  <c r="BV9" i="16"/>
  <c r="T13" i="16"/>
  <c r="AA17" i="16"/>
  <c r="AZ16" i="11"/>
  <c r="AZ12" i="11"/>
  <c r="AZ11" i="11"/>
  <c r="T16" i="11"/>
  <c r="X17" i="17"/>
  <c r="BG12" i="11"/>
  <c r="S15" i="16"/>
  <c r="Q17" i="17"/>
  <c r="P15" i="17"/>
  <c r="BH10" i="11"/>
  <c r="BF12" i="11"/>
  <c r="BI9" i="11"/>
  <c r="BL15" i="11"/>
  <c r="AQ10" i="21"/>
  <c r="BL10" i="11"/>
  <c r="S10" i="17"/>
  <c r="BJ10" i="11"/>
  <c r="BH10" i="16"/>
  <c r="BK16" i="11"/>
  <c r="Q15" i="17"/>
  <c r="BH11" i="11"/>
  <c r="BM17" i="11"/>
  <c r="BG16" i="11"/>
  <c r="BF15" i="11"/>
  <c r="S17" i="17"/>
  <c r="BH16" i="11"/>
  <c r="BM9" i="11"/>
  <c r="AQ12" i="21"/>
  <c r="BH12" i="16"/>
  <c r="BJ16" i="11"/>
  <c r="BK10" i="11"/>
  <c r="BL16" i="11"/>
  <c r="T13" i="20"/>
  <c r="BF15" i="8"/>
  <c r="BF9" i="8"/>
  <c r="L10" i="2"/>
  <c r="AU18" i="21"/>
  <c r="S15" i="17"/>
  <c r="AH13" i="16"/>
  <c r="S16" i="17"/>
  <c r="L15" i="2"/>
  <c r="L12" i="2"/>
  <c r="L16" i="2"/>
  <c r="L17" i="2"/>
  <c r="X10" i="21"/>
  <c r="X15" i="16"/>
  <c r="X18" i="16" s="1"/>
  <c r="U9" i="17"/>
  <c r="U19" i="17" s="1"/>
  <c r="V10" i="16"/>
  <c r="L9" i="2"/>
  <c r="R18" i="20"/>
  <c r="AP13" i="16"/>
  <c r="V9" i="16"/>
  <c r="T18" i="17"/>
  <c r="BG15" i="13"/>
  <c r="BE16" i="13"/>
  <c r="BE15" i="13"/>
  <c r="AX20" i="20"/>
  <c r="B18" i="7" l="1"/>
  <c r="S19" i="8"/>
  <c r="AB13" i="21"/>
  <c r="BG10" i="8"/>
  <c r="B9" i="6"/>
  <c r="AL16" i="11"/>
  <c r="C16" i="6"/>
  <c r="BE9" i="13"/>
  <c r="AZ19" i="11"/>
  <c r="BW17" i="20"/>
  <c r="BW9" i="20"/>
  <c r="BU15" i="17"/>
  <c r="T15" i="16"/>
  <c r="T17" i="16"/>
  <c r="BM15" i="11"/>
  <c r="BH17" i="11"/>
  <c r="BL11" i="11"/>
  <c r="BG9" i="11"/>
  <c r="BI17" i="11"/>
  <c r="R10" i="21"/>
  <c r="R13" i="21" s="1"/>
  <c r="R19" i="21" s="1"/>
  <c r="BJ11" i="11"/>
  <c r="V9" i="11"/>
  <c r="Q10" i="21"/>
  <c r="BI10" i="11"/>
  <c r="AZ17" i="11"/>
  <c r="BK11" i="11"/>
  <c r="X11" i="17"/>
  <c r="BK9" i="11"/>
  <c r="BK12" i="11"/>
  <c r="P17" i="17"/>
  <c r="BG10" i="11"/>
  <c r="BL9" i="11"/>
  <c r="BF11"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I19" i="11"/>
  <c r="BF13" i="8"/>
  <c r="AL19" i="21"/>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AH20" i="11"/>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F20" i="17"/>
  <c r="AI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<sst xmlns="http://schemas.openxmlformats.org/spreadsheetml/2006/main" count="2074" uniqueCount="910">
  <si>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</si>
  <si>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</si>
  <si>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</si>
  <si>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</si>
  <si>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</si>
  <si>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</si>
  <si>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</si>
  <si>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</si>
  <si>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</si>
  <si>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</si>
  <si>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</si>
  <si>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</si>
  <si>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</si>
  <si>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</si>
  <si>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</si>
  <si>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</si>
  <si>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</si>
  <si>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</si>
  <si>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</si>
  <si>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</si>
  <si>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</si>
  <si>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</si>
  <si>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</si>
  <si>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</si>
  <si>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</si>
  <si>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</si>
  <si>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</si>
  <si>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</si>
  <si>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</si>
  <si>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</si>
  <si>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</si>
  <si>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</si>
  <si>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</si>
  <si>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</si>
  <si>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</si>
  <si>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</si>
  <si>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</si>
  <si>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</si>
  <si>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</si>
  <si>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</si>
  <si>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</si>
  <si>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</si>
  <si>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</si>
  <si>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</si>
  <si>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</si>
  <si>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</si>
  <si>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</si>
  <si>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</si>
  <si>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</si>
  <si>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</si>
  <si>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</si>
  <si>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</si>
  <si>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</si>
  <si>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</si>
  <si>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</si>
  <si>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</si>
  <si>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</si>
  <si>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</si>
  <si>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</si>
  <si>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</si>
  <si>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</si>
  <si>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</si>
  <si>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</si>
  <si>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</si>
  <si>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</si>
  <si>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</si>
  <si>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</si>
  <si>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</si>
  <si>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</si>
  <si>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</si>
  <si>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</si>
  <si>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</si>
  <si>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</si>
  <si>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</si>
  <si>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</si>
  <si>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</si>
  <si>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</si>
  <si>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</si>
  <si>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</si>
  <si>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</si>
  <si>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</si>
  <si>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</si>
  <si>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</si>
  <si>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</si>
  <si>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</si>
  <si>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</si>
  <si>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</si>
  <si>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</si>
  <si>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</si>
  <si>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</si>
  <si>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</si>
  <si>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</si>
  <si>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</si>
  <si>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</si>
  <si>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</si>
  <si>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</si>
  <si>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</si>
  <si>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</si>
  <si>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</si>
  <si>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</si>
  <si>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</si>
  <si>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</si>
  <si>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</si>
  <si>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</si>
  <si>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</si>
  <si>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</si>
  <si>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</si>
  <si>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</si>
  <si>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</si>
  <si>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</si>
  <si>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</si>
  <si>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</si>
  <si>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</si>
  <si>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</si>
  <si>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</si>
  <si>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</si>
  <si>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</si>
  <si>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</si>
  <si>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</si>
  <si>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</si>
  <si>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</si>
  <si>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</si>
  <si>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</si>
  <si>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</si>
  <si>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</si>
  <si>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</si>
  <si>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</si>
  <si>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</si>
  <si>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</si>
  <si>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</si>
  <si>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</si>
  <si>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</si>
  <si>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</si>
  <si>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</si>
  <si>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</si>
  <si>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</si>
  <si>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</si>
  <si>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</si>
  <si>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</si>
  <si>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</si>
  <si>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</si>
  <si>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</si>
  <si>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</si>
  <si>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</si>
  <si>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</si>
  <si>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</si>
  <si>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</si>
  <si>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</si>
  <si>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</si>
  <si>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</si>
  <si>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</si>
  <si>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</si>
  <si>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</si>
  <si>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</si>
  <si>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</si>
  <si>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</si>
  <si>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</si>
  <si>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</si>
  <si>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</si>
  <si>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</si>
  <si>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</si>
  <si>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</si>
  <si>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</si>
  <si>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</si>
  <si>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</si>
  <si>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</si>
  <si>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</si>
  <si>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</si>
  <si>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</si>
  <si>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</si>
  <si>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</si>
  <si>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</si>
  <si>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</si>
  <si>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</si>
  <si>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</si>
  <si>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</si>
  <si>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</si>
  <si>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</si>
  <si>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</si>
  <si>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</si>
  <si>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</si>
  <si>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</si>
  <si>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</si>
  <si>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</si>
  <si>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</si>
  <si>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</si>
  <si>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</si>
  <si>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</si>
  <si>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</si>
  <si>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</si>
  <si>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</si>
  <si>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</si>
  <si>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</si>
  <si>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</si>
  <si>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</si>
  <si>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</si>
  <si>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</si>
  <si>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</si>
  <si>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</si>
  <si>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</si>
  <si>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</si>
  <si>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</si>
  <si>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</si>
  <si>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</si>
  <si>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</si>
  <si>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</si>
  <si>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</si>
  <si>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</si>
  <si>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</si>
  <si>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</si>
  <si>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</si>
  <si>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</si>
  <si>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</si>
  <si>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</si>
  <si>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</si>
  <si>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</si>
  <si>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</si>
  <si>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</si>
  <si>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</si>
  <si>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</si>
  <si>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</si>
  <si>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</si>
  <si>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</si>
  <si>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</si>
  <si>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</si>
  <si>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</si>
  <si>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</si>
  <si>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</si>
  <si>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</si>
  <si>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</si>
  <si>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</si>
  <si>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</si>
  <si>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</si>
  <si>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</si>
  <si>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</si>
  <si>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</si>
  <si>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</si>
  <si>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</si>
  <si>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</si>
  <si>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</si>
  <si>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</si>
  <si>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</si>
  <si>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</si>
  <si>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</si>
  <si>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</si>
  <si>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</si>
  <si>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</si>
  <si>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</si>
  <si>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</si>
  <si>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</si>
  <si>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</si>
  <si>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</si>
  <si>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</si>
  <si>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</si>
  <si>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</si>
  <si>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</si>
  <si>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</si>
  <si>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</si>
  <si>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</si>
  <si>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</si>
  <si>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</si>
  <si>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</si>
  <si>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</si>
  <si>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</si>
  <si>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</si>
  <si>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</si>
  <si>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</si>
  <si>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</si>
  <si>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</si>
  <si>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</si>
  <si>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</si>
  <si>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</si>
  <si>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</si>
  <si>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</si>
  <si>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</si>
  <si>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</si>
  <si>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</si>
  <si>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</si>
  <si>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</si>
  <si>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</si>
  <si>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</si>
  <si>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</si>
  <si>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</si>
  <si>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</si>
  <si>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</si>
  <si>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</si>
  <si>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</si>
  <si>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</si>
  <si>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</si>
  <si>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</si>
  <si>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</si>
  <si>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</si>
  <si>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</si>
  <si>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</si>
  <si>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</si>
  <si>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</si>
  <si>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</si>
  <si>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</si>
  <si>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</si>
  <si>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</si>
  <si>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</si>
  <si>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</si>
  <si>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</si>
  <si>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</si>
  <si>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</si>
  <si>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</si>
  <si>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</si>
  <si>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</si>
  <si>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</si>
  <si>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</si>
  <si>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</si>
  <si>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</si>
  <si>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</si>
  <si>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</si>
  <si>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</si>
  <si>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</si>
  <si>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</si>
  <si>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</si>
  <si>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</si>
  <si>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</si>
  <si>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</si>
  <si>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</si>
  <si>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</si>
  <si>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</si>
  <si>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</si>
  <si>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</si>
  <si>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</si>
  <si>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</si>
  <si>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</si>
  <si>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</si>
  <si>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</si>
  <si>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</si>
  <si>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</si>
  <si>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</si>
  <si>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</si>
  <si>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</si>
  <si>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</si>
  <si>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</si>
  <si>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</si>
  <si>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</si>
  <si>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</si>
  <si>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</si>
  <si>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</si>
  <si>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</si>
  <si>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</si>
  <si>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</si>
  <si>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</si>
  <si>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</si>
  <si>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</si>
  <si>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</si>
  <si>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</si>
  <si>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</si>
  <si>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</si>
  <si>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</si>
  <si>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</si>
  <si>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</si>
  <si>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</si>
  <si>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</si>
  <si>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</si>
  <si>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</si>
  <si>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</si>
  <si>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</si>
  <si>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</si>
  <si>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</si>
  <si>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</si>
  <si>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</si>
  <si>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</si>
  <si>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</si>
  <si>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</si>
  <si>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</si>
  <si>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</si>
  <si>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</si>
  <si>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</si>
  <si>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</si>
  <si>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</si>
  <si>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</si>
  <si>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</si>
  <si>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</si>
  <si>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</si>
  <si>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</si>
  <si>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</si>
  <si>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</si>
  <si>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</si>
  <si>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</si>
  <si>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</si>
  <si>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</si>
  <si>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</si>
  <si>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</si>
  <si>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</si>
  <si>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</si>
  <si>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</si>
  <si>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</si>
  <si>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</si>
  <si>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</si>
  <si>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</si>
  <si>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</si>
  <si>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</si>
  <si>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</si>
  <si>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</si>
  <si>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</si>
  <si>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</si>
  <si>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</si>
  <si>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</si>
  <si>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</si>
  <si>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</si>
  <si>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</si>
  <si>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</si>
  <si>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</si>
  <si>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</si>
  <si>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</si>
  <si>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</si>
  <si>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</si>
  <si>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</si>
  <si>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</si>
  <si>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</si>
  <si>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</si>
  <si>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</si>
  <si>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</si>
  <si>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</si>
  <si>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</si>
  <si>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</si>
  <si>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</si>
  <si>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</si>
  <si>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</si>
  <si>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</si>
  <si>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</si>
  <si>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</si>
  <si>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</si>
  <si>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</si>
  <si>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</si>
  <si>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</si>
  <si>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</si>
  <si>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</si>
  <si>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</si>
  <si>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</si>
  <si>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</si>
  <si>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</si>
  <si>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</si>
  <si>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</si>
  <si>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</si>
  <si>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</si>
  <si>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</si>
  <si>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</si>
  <si>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</si>
  <si>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</si>
  <si>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</si>
  <si>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</si>
  <si>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</si>
  <si>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</si>
  <si>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</si>
  <si>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</si>
  <si>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</si>
  <si>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</si>
  <si>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</si>
  <si>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</si>
  <si>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</si>
  <si>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</si>
  <si>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</si>
  <si>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</si>
  <si>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</si>
  <si>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</si>
  <si>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</si>
  <si>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</si>
  <si>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</si>
  <si>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</si>
  <si>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</si>
  <si>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</si>
  <si>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</si>
  <si>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</si>
  <si>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</si>
  <si>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</si>
  <si>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</si>
  <si>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</si>
  <si>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</si>
  <si>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</si>
  <si>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</si>
  <si>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</si>
  <si>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</si>
  <si>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</si>
  <si>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</si>
  <si>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</si>
  <si>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</si>
  <si>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</si>
  <si>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</si>
  <si>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</si>
  <si>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</si>
  <si>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</si>
  <si>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</si>
  <si>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</si>
  <si>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</si>
  <si>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</si>
  <si>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</si>
  <si>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</si>
  <si>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</si>
  <si>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</si>
  <si>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</si>
  <si>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</si>
  <si>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</si>
  <si>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</si>
  <si>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</si>
  <si>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</si>
  <si>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</si>
  <si>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</si>
  <si>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</si>
  <si>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</si>
  <si>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</si>
  <si>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</si>
  <si>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</si>
  <si>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</si>
  <si>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</si>
  <si>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</si>
  <si>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</si>
  <si>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</si>
  <si>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</si>
  <si>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</si>
  <si>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</si>
  <si>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</si>
  <si>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</si>
  <si>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</si>
  <si>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</si>
  <si>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</si>
  <si>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</si>
  <si>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</si>
  <si>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</si>
  <si>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</si>
  <si>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</si>
  <si>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</si>
  <si>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</si>
  <si>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</si>
  <si>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</si>
  <si>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</si>
  <si>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</si>
  <si>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</si>
  <si>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</si>
  <si>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</si>
  <si>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</si>
  <si>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</si>
  <si>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</si>
  <si>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</si>
  <si>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</si>
  <si>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</si>
  <si>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</si>
  <si>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</si>
  <si>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</si>
  <si>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</si>
  <si>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</si>
  <si>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</si>
  <si>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</si>
  <si>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</si>
  <si>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</si>
  <si>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</si>
  <si>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</si>
  <si>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</si>
  <si>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</si>
  <si>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</si>
  <si>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</si>
  <si>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</si>
  <si>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</si>
  <si>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</si>
  <si>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</si>
  <si>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</si>
  <si>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</si>
  <si>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</si>
  <si>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</si>
  <si>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</si>
  <si>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</si>
  <si>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</si>
  <si>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</si>
  <si>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</si>
  <si>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</si>
  <si>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</si>
  <si>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</si>
  <si>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</si>
  <si>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</si>
  <si>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</si>
  <si>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</si>
  <si>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</si>
  <si>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</si>
  <si>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</si>
  <si>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</si>
  <si>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</si>
  <si>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</si>
  <si>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</si>
  <si>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</si>
  <si>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</si>
  <si>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</si>
  <si>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</si>
  <si>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</si>
  <si>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</si>
  <si>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</si>
  <si>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</si>
  <si>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</si>
  <si>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</si>
  <si>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</si>
  <si>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</si>
  <si>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</si>
  <si>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</si>
  <si>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</si>
  <si>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</si>
  <si>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</si>
  <si>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</si>
  <si>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</si>
  <si>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</si>
  <si>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</si>
  <si>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</si>
  <si>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</si>
  <si>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</si>
  <si>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</si>
  <si>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</si>
  <si>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</si>
  <si>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</si>
  <si>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</si>
  <si>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</si>
  <si>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</si>
  <si>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</si>
  <si>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</si>
  <si>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</si>
  <si>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</si>
  <si>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</si>
  <si>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</si>
  <si>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</si>
  <si>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</si>
  <si>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</si>
  <si>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</si>
  <si>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</si>
  <si>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</si>
  <si>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</si>
  <si>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</si>
  <si>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</si>
  <si>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</si>
  <si>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</si>
  <si>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</si>
  <si>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</si>
  <si>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</si>
  <si>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</si>
  <si>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</si>
  <si>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</si>
  <si>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</si>
  <si>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</si>
  <si>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</si>
  <si>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</si>
  <si>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</si>
  <si>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</si>
  <si>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</si>
  <si>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</si>
  <si>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</si>
  <si>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</si>
  <si>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</si>
  <si>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</si>
  <si>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</si>
  <si>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</si>
  <si>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</si>
  <si>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</si>
  <si>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</si>
  <si>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</si>
  <si>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</si>
  <si>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</si>
  <si>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</si>
  <si>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</si>
  <si>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</si>
  <si>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</si>
  <si>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</si>
  <si>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</si>
  <si>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</si>
  <si>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</si>
  <si>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</si>
  <si>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</si>
  <si>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</si>
  <si>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</si>
  <si>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</si>
  <si>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</si>
  <si>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</si>
  <si>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</si>
  <si>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</si>
  <si>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</si>
  <si>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</si>
  <si>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</si>
  <si>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</si>
  <si>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</si>
  <si>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</si>
  <si>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</si>
  <si>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</si>
  <si>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</si>
  <si>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</si>
  <si>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</si>
  <si>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</si>
  <si>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</si>
  <si>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</si>
  <si>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</si>
  <si>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</si>
  <si>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</si>
  <si>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</si>
  <si>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</si>
  <si>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</si>
  <si>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</si>
  <si>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</si>
  <si>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</si>
  <si>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</si>
  <si>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</si>
  <si>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</si>
  <si>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</si>
  <si>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</si>
  <si>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</si>
  <si>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</si>
  <si>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</si>
  <si>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</si>
  <si>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</si>
  <si>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</si>
  <si>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</si>
  <si>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</si>
  <si>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</si>
  <si>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</si>
  <si>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</si>
  <si>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</si>
  <si>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</si>
  <si>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</si>
  <si>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</si>
  <si>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</si>
  <si>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</si>
  <si>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</si>
  <si>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</si>
  <si>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</si>
  <si>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</si>
  <si>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</si>
  <si>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</si>
  <si>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</si>
  <si>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</si>
  <si>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</si>
  <si>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</si>
  <si>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</si>
  <si>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</si>
  <si>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</si>
  <si>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</si>
  <si>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</si>
  <si>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</si>
  <si>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</si>
  <si>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</si>
  <si>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</si>
  <si>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</si>
  <si>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</si>
  <si>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</si>
  <si>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</si>
  <si>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</si>
  <si>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</si>
  <si>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</si>
  <si>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</si>
  <si>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</si>
  <si>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</si>
  <si>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</si>
  <si>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</si>
  <si>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</si>
  <si>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</si>
  <si>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</si>
  <si>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</si>
  <si>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</si>
  <si>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</si>
  <si>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</si>
  <si>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</si>
  <si>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</si>
  <si>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</si>
  <si>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</si>
  <si>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</si>
  <si>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</si>
  <si>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</si>
  <si>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</si>
  <si>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</si>
  <si>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</si>
  <si>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</si>
  <si>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</si>
  <si>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</si>
  <si>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</si>
  <si>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</si>
  <si>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</si>
  <si>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</si>
  <si>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</si>
  <si>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</si>
  <si>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</si>
  <si>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</si>
  <si>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</si>
  <si>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</si>
  <si>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</si>
  <si>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</si>
  <si>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</si>
  <si>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</si>
  <si>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</si>
  <si>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</si>
  <si>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</si>
  <si>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</si>
  <si>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</si>
  <si>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</si>
  <si>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</si>
  <si>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</si>
  <si>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</si>
  <si>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</si>
  <si>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</si>
  <si>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</si>
  <si>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</si>
  <si>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</si>
  <si>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</si>
  <si>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</si>
  <si>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</si>
  <si>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</si>
  <si>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</si>
  <si>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</si>
  <si>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</si>
  <si>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</si>
  <si>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</si>
  <si>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</si>
  <si>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</si>
  <si>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</si>
  <si>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</si>
  <si>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</si>
  <si>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</si>
  <si>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</si>
  <si>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</si>
  <si>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</si>
  <si>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</si>
  <si>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</si>
  <si>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</si>
  <si>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</si>
  <si>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</si>
  <si>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</si>
  <si>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</si>
  <si>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</si>
  <si>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</si>
  <si>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</si>
  <si>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</si>
  <si>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</si>
  <si>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</si>
  <si>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</si>
  <si>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</si>
  <si>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</si>
  <si>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</si>
  <si>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</si>
  <si>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</si>
  <si>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</si>
  <si>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</si>
  <si>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</si>
  <si>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</si>
  <si>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</si>
  <si>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</si>
  <si>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</si>
  <si>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</si>
  <si>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</si>
  <si>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</si>
  <si>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</si>
  <si>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</si>
  <si>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</si>
  <si>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</si>
  <si>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</si>
  <si>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</si>
  <si>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</si>
  <si>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</si>
  <si>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</si>
  <si>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</si>
  <si>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</si>
  <si>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</si>
  <si>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</si>
  <si>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</si>
  <si>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</si>
  <si>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</si>
  <si>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</si>
  <si>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</si>
  <si>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</si>
  <si>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</si>
  <si>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</si>
  <si>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</si>
  <si>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</si>
  <si>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</si>
  <si>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</si>
  <si>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</si>
  <si>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</si>
  <si>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</si>
  <si>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</si>
  <si>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</si>
  <si>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</si>
  <si>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</si>
  <si>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</si>
  <si>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</si>
  <si>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</si>
  <si>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</si>
  <si>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</si>
  <si>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</si>
  <si>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</si>
  <si>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</si>
  <si>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</si>
  <si>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</si>
  <si>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</si>
  <si>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</si>
  <si>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</si>
  <si>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</si>
  <si>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</si>
  <si>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</si>
  <si>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</si>
  <si>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</si>
  <si>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</si>
  <si>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</si>
  <si>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</si>
  <si>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</si>
  <si>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</si>
  <si>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</si>
  <si>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</si>
  <si>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</si>
  <si>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</si>
  <si>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</si>
  <si>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</si>
  <si>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</si>
  <si>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ALICANTE-ALACANT</t>
  </si>
  <si>
    <t>Resumenes por Partidos Judiciales</t>
  </si>
  <si>
    <t>BENIDORM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</si>
</sst>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903</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904</v>
      </c>
      <c r="B9" s="375" t="s">
        <v>905</v>
      </c>
      <c r="C9" s="372"/>
      <c r="D9" s="372"/>
      <c r="E9" s="381"/>
      <c r="F9" s="3"/>
    </row>
    <row r="10" spans="1:19">
      <c r="A10" s="380" t="s">
        <v>906</v>
      </c>
      <c r="B10" s="372" t="s">
        <v>907</v>
      </c>
      <c r="C10" s="372"/>
      <c r="D10" s="372"/>
      <c r="E10" s="381"/>
      <c r="F10" s="3"/>
      <c r="Q10" s="346">
        <v>0</v>
      </c>
    </row>
    <row r="11" spans="1:19" ht="13.5" thickBot="1">
      <c r="A11" s="382" t="s">
        <v>908</v>
      </c>
      <c r="B11" s="383" t="s">
        <v>909</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w/1wTXkfb6K6C87W864ixuUXIgmUjCzm5q+ZwTpnN2YKgZURWcRrh39/Aa85kmkxPWeAxrAxKCDQ0pRCbCuFw==" saltValue="gmjozmSiuwq4AB3hsiCD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43.670194003527335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106</v>
      </c>
      <c r="D10" s="225">
        <f>IF(ISNUMBER(Datos!I10),Datos!I10," - ")</f>
        <v>106</v>
      </c>
      <c r="E10" s="226">
        <f>IF(ISNUMBER(Datos!J10),Datos!J10," - ")</f>
        <v>42</v>
      </c>
      <c r="F10" s="226">
        <f>IF(ISNUMBER(Datos!K10),Datos!K10," - ")</f>
        <v>42</v>
      </c>
      <c r="G10" s="1034" t="str">
        <f>IF(Datos!E10&lt;&gt;"",Datos!E10,Datos!D10)</f>
        <v>37</v>
      </c>
      <c r="H10" s="227">
        <f>IF(ISNUMBER(Datos!L10),Datos!L10," - ")</f>
        <v>106</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27.761904761904759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106</v>
      </c>
      <c r="D13" s="1049">
        <f>SUBTOTAL(9,D9:D12)</f>
        <v>106</v>
      </c>
      <c r="E13" s="1050">
        <f>SUBTOTAL(9,E9:E12)</f>
        <v>42</v>
      </c>
      <c r="F13" s="1051">
        <f>SUBTOTAL(9,F9:F12)</f>
        <v>42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3241</v>
      </c>
      <c r="D15" s="225">
        <f>IF(ISNUMBER(IF(D_I="SI",Datos!I15,Datos!I15+Datos!AC15)),IF(D_I="SI",Datos!I15,Datos!I15+Datos!AC15)," - ")</f>
        <v>3158</v>
      </c>
      <c r="E15" s="226">
        <f>IF(ISNUMBER(IF(D_I="SI",Datos!J15,Datos!J15+Datos!AD15)),IF(D_I="SI",Datos!J15,Datos!J15+Datos!AD15)," - ")</f>
        <v>2557</v>
      </c>
      <c r="F15" s="226">
        <f>IF(ISNUMBER(IF(D_I="SI",Datos!K15,Datos!K15+Datos!AE15)),IF(D_I="SI",Datos!K15,Datos!K15+Datos!AE15)," - ")</f>
        <v>2606</v>
      </c>
      <c r="G15" s="1034" t="str">
        <f>IF(Datos!E15&lt;&gt;"",Datos!E15,Datos!D15)</f>
        <v>03</v>
      </c>
      <c r="H15" s="227">
        <f>IF(ISNUMBER(IF(D_I="SI",Datos!L15,Datos!L15+Datos!AF15)),IF(D_I="SI",Datos!L15,Datos!L15+Datos!AF15)," - ")</f>
        <v>3192</v>
      </c>
      <c r="I15" s="1044" t="str">
        <f>IF(ISNUMBER(Datos!AS15/Datos!BM15),Datos!AS15/Datos!BM15," - ")</f>
        <v xml:space="preserve"> - </v>
      </c>
      <c r="J15" s="1045">
        <f>IF(ISNUMBER(Datos!BY15/Datos!CN15),Datos!BY15/Datos!CN15," - ")</f>
        <v>0</v>
      </c>
      <c r="K15" s="230">
        <f t="shared" ref="K15:K17" si="3">IF(ISNUMBER((E15-F15)/C15),(E15-F15)/C15," - ")</f>
        <v>-1.511879049676026E-2</v>
      </c>
      <c r="L15" s="1025">
        <f>IF(ISNUMBER(NºAsuntos!I15/NºAsuntos!G15),(NºAsuntos!I15/NºAsuntos!G15)*11," - ")</f>
        <v>13.473522640061397</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f t="shared" si="2"/>
        <v>2</v>
      </c>
      <c r="D16" s="225">
        <f>IF(ISNUMBER(IF(D_I="SI",Datos!I16,Datos!I16+Datos!AC16)),IF(D_I="SI",Datos!I16,Datos!I16+Datos!AC16)," - ")</f>
        <v>2</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2</v>
      </c>
      <c r="I16" s="1044" t="str">
        <f>IF(ISNUMBER(Datos!AS16/Datos!BM16),Datos!AS16/Datos!BM16," - ")</f>
        <v xml:space="preserve"> - </v>
      </c>
      <c r="J16" s="1045">
        <f>IF(ISNUMBER(Datos!BY16/Datos!CN16),Datos!BY16/Datos!CN16," - ")</f>
        <v>0</v>
      </c>
      <c r="K16" s="230">
        <f t="shared" si="3"/>
        <v>0</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301</v>
      </c>
      <c r="D17" s="225">
        <f>IF(ISNUMBER(IF(D_I="SI",Datos!I17,Datos!I17+Datos!AC17)),IF(D_I="SI",Datos!I17,Datos!I17+Datos!AC17)," - ")</f>
        <v>301</v>
      </c>
      <c r="E17" s="226">
        <f>IF(ISNUMBER(IF(D_I="SI",Datos!J17,Datos!J17+Datos!AD17)),IF(D_I="SI",Datos!J17,Datos!J17+Datos!AD17)," - ")</f>
        <v>456</v>
      </c>
      <c r="F17" s="226">
        <f>IF(ISNUMBER(IF(D_I="SI",Datos!K17,Datos!K17+Datos!AE17)),IF(D_I="SI",Datos!K17,Datos!K17+Datos!AE17)," - ")</f>
        <v>425</v>
      </c>
      <c r="G17" s="1034" t="str">
        <f>IF(Datos!E17&lt;&gt;"",Datos!E17,Datos!D17)</f>
        <v>37</v>
      </c>
      <c r="H17" s="227">
        <f>IF(ISNUMBER(IF(D_I="SI",Datos!L17,Datos!L17+Datos!AF17)),IF(D_I="SI",Datos!L17,Datos!L17+Datos!AF17)," - ")</f>
        <v>332</v>
      </c>
      <c r="I17" s="1044" t="str">
        <f>IF(ISNUMBER(Datos!AS17/Datos!BM17),Datos!AS17/Datos!BM17," - ")</f>
        <v xml:space="preserve"> - </v>
      </c>
      <c r="J17" s="1045" t="str">
        <f>IF(ISNUMBER((Datos!BY17+Datos!BZ17)/Datos!CN17),(Datos!BY17+Datos!BZ17)/Datos!CN17," - ")</f>
        <v xml:space="preserve"> - </v>
      </c>
      <c r="K17" s="230">
        <f t="shared" si="3"/>
        <v>0.10299003322259136</v>
      </c>
      <c r="L17" s="1025">
        <f>IF(ISNUMBER(NºAsuntos!I17/NºAsuntos!G17),(NºAsuntos!I17/NºAsuntos!G17)*11," - ")</f>
        <v>8.5929411764705872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3544</v>
      </c>
      <c r="D18" s="1049">
        <f>SUBTOTAL(9,D15:D17)</f>
        <v>3461</v>
      </c>
      <c r="E18" s="1050">
        <f>SUBTOTAL(9,E15:E17)</f>
        <v>3013</v>
      </c>
      <c r="F18" s="1050">
        <f>SUBTOTAL(9,F15:F17)</f>
        <v>3031</v>
      </c>
      <c r="G18" s="1052" t="str">
        <f ca="1">INDIRECT(CONCATENATE("G",ROW()-1))</f>
        <v>37</v>
      </c>
      <c r="H18" s="1053">
        <f ca="1">SUMIF(G$14:G17,G18,H$14:H17)</f>
        <v>332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3650</v>
      </c>
      <c r="D19" s="1071">
        <f>SUBTOTAL(9,D9:D18)</f>
        <v>3567</v>
      </c>
      <c r="E19" s="1072">
        <f>SUBTOTAL(9,E9:E18)</f>
        <v>3055</v>
      </c>
      <c r="F19" s="1072">
        <f>SUBTOTAL(9,F9:F18)</f>
        <v>3073</v>
      </c>
      <c r="G19" s="1073"/>
      <c r="H19" s="1074">
        <f ca="1">SUMIF(B9:B18,"TOTAL",H9:H18)</f>
        <v>332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627</v>
      </c>
      <c r="O25" s="1355"/>
      <c r="P25" s="1355"/>
      <c r="Q25" s="1355"/>
      <c r="R25" s="1355"/>
      <c r="S25" s="1355"/>
      <c r="T25" s="1355"/>
      <c r="U25" s="1355"/>
      <c r="V25" s="1355"/>
      <c r="W25" s="1355"/>
      <c r="Y25" s="1355" t="s">
        <v>628</v>
      </c>
      <c r="Z25" s="1355"/>
      <c r="AA25" s="1355"/>
      <c r="AB25" s="1355"/>
      <c r="AC25" s="1355"/>
      <c r="AD25" s="1355"/>
    </row>
    <row r="27" spans="1:78">
      <c r="N27" s="1031" t="s">
        <v>629</v>
      </c>
      <c r="O27" s="1356" t="s">
        <v>630</v>
      </c>
      <c r="P27" s="1356"/>
      <c r="Q27" s="1356"/>
      <c r="R27" s="1356"/>
      <c r="S27" s="1356"/>
      <c r="T27" s="1356"/>
      <c r="U27" s="1356"/>
      <c r="V27" s="1356"/>
      <c r="W27" s="1356"/>
      <c r="Y27" s="1031" t="s">
        <v>629</v>
      </c>
      <c r="Z27" s="1357" t="s">
        <v>631</v>
      </c>
      <c r="AA27" s="1357"/>
      <c r="AB27" s="1357"/>
      <c r="AC27" s="1357"/>
      <c r="AD27" s="1357"/>
    </row>
    <row r="28" spans="1:78">
      <c r="N28" s="1031" t="s">
        <v>632</v>
      </c>
      <c r="O28" s="1356" t="s">
        <v>633</v>
      </c>
      <c r="P28" s="1356"/>
      <c r="Q28" s="1356"/>
      <c r="R28" s="1356"/>
      <c r="S28" s="1356"/>
      <c r="T28" s="1356"/>
      <c r="U28" s="1356"/>
      <c r="V28" s="1356"/>
      <c r="W28" s="1356"/>
      <c r="Y28" s="1031" t="s">
        <v>632</v>
      </c>
      <c r="Z28" s="1357" t="s">
        <v>634</v>
      </c>
      <c r="AA28" s="1357"/>
      <c r="AB28" s="1357"/>
      <c r="AC28" s="1357"/>
      <c r="AD28" s="1357"/>
    </row>
    <row r="29" spans="1:78">
      <c r="N29" s="1031" t="s">
        <v>635</v>
      </c>
      <c r="O29" s="1356" t="s">
        <v>636</v>
      </c>
      <c r="P29" s="1356"/>
      <c r="Q29" s="1356"/>
      <c r="R29" s="1356"/>
      <c r="S29" s="1356"/>
      <c r="T29" s="1356"/>
      <c r="U29" s="1356"/>
      <c r="V29" s="1356"/>
      <c r="W29" s="1356"/>
      <c r="Y29" s="1031" t="s">
        <v>637</v>
      </c>
      <c r="Z29" s="1357" t="s">
        <v>872</v>
      </c>
      <c r="AA29" s="1357"/>
      <c r="AB29" s="1357"/>
      <c r="AC29" s="1357"/>
      <c r="AD29" s="1357"/>
    </row>
    <row r="30" spans="1:78">
      <c r="N30" s="1031" t="s">
        <v>638</v>
      </c>
      <c r="O30" s="1356" t="s">
        <v>639</v>
      </c>
      <c r="P30" s="1356"/>
      <c r="Q30" s="1356"/>
      <c r="R30" s="1356"/>
      <c r="S30" s="1356"/>
      <c r="T30" s="1356"/>
      <c r="U30" s="1356"/>
      <c r="V30" s="1356"/>
      <c r="W30" s="1356"/>
      <c r="Y30" s="1031" t="s">
        <v>640</v>
      </c>
      <c r="Z30" s="1357" t="s">
        <v>873</v>
      </c>
      <c r="AA30" s="1357"/>
      <c r="AB30" s="1357"/>
      <c r="AC30" s="1357"/>
      <c r="AD30" s="1357"/>
    </row>
    <row r="31" spans="1:78">
      <c r="N31" s="1031" t="s">
        <v>723</v>
      </c>
      <c r="O31" s="1356" t="s">
        <v>724</v>
      </c>
      <c r="P31" s="1356"/>
      <c r="Q31" s="1356"/>
      <c r="R31" s="1356"/>
      <c r="S31" s="1356"/>
      <c r="T31" s="1356"/>
      <c r="U31" s="1356"/>
      <c r="V31" s="1356"/>
      <c r="W31" s="1356"/>
      <c r="Y31" s="1031" t="s">
        <v>635</v>
      </c>
      <c r="Z31" s="1357" t="s">
        <v>636</v>
      </c>
      <c r="AA31" s="1357"/>
      <c r="AB31" s="1357"/>
      <c r="AC31" s="1357"/>
      <c r="AD31" s="1357"/>
    </row>
    <row r="32" spans="1:78">
      <c r="N32" s="1031" t="s">
        <v>641</v>
      </c>
      <c r="O32" s="1356" t="s">
        <v>642</v>
      </c>
      <c r="P32" s="1356"/>
      <c r="Q32" s="1356"/>
      <c r="R32" s="1356"/>
      <c r="S32" s="1356"/>
      <c r="T32" s="1356"/>
      <c r="U32" s="1356"/>
      <c r="V32" s="1356"/>
      <c r="W32" s="1356"/>
      <c r="Y32" s="1031" t="s">
        <v>638</v>
      </c>
      <c r="Z32" s="1357" t="s">
        <v>639</v>
      </c>
      <c r="AA32" s="1357"/>
      <c r="AB32" s="1357"/>
      <c r="AC32" s="1357"/>
      <c r="AD32" s="1357"/>
    </row>
    <row r="33" spans="14:30">
      <c r="N33" s="1031" t="s">
        <v>643</v>
      </c>
      <c r="O33" s="1356" t="s">
        <v>644</v>
      </c>
      <c r="P33" s="1356"/>
      <c r="Q33" s="1356"/>
      <c r="R33" s="1356"/>
      <c r="S33" s="1356"/>
      <c r="T33" s="1356"/>
      <c r="U33" s="1356"/>
      <c r="V33" s="1356"/>
      <c r="W33" s="1356"/>
      <c r="Y33" s="1031" t="s">
        <v>723</v>
      </c>
      <c r="Z33" s="1357" t="s">
        <v>902</v>
      </c>
      <c r="AA33" s="1357"/>
      <c r="AB33" s="1357"/>
      <c r="AC33" s="1357"/>
      <c r="AD33" s="1357"/>
    </row>
    <row r="34" spans="14:30">
      <c r="N34" s="1031" t="s">
        <v>637</v>
      </c>
      <c r="O34" s="1356" t="s">
        <v>870</v>
      </c>
      <c r="P34" s="1356"/>
      <c r="Q34" s="1356"/>
      <c r="R34" s="1356"/>
      <c r="S34" s="1356"/>
      <c r="T34" s="1356"/>
      <c r="U34" s="1356"/>
      <c r="V34" s="1356"/>
      <c r="W34" s="1356"/>
      <c r="Y34" s="1031" t="s">
        <v>645</v>
      </c>
      <c r="Z34" s="1357" t="s">
        <v>646</v>
      </c>
      <c r="AA34" s="1357"/>
      <c r="AB34" s="1357"/>
      <c r="AC34" s="1357"/>
      <c r="AD34" s="1357"/>
    </row>
    <row r="35" spans="14:30">
      <c r="N35" s="1031" t="s">
        <v>640</v>
      </c>
      <c r="O35" s="1356" t="s">
        <v>871</v>
      </c>
      <c r="P35" s="1356"/>
      <c r="Q35" s="1356"/>
      <c r="R35" s="1356"/>
      <c r="S35" s="1356"/>
      <c r="T35" s="1356"/>
      <c r="U35" s="1356"/>
      <c r="V35" s="1356"/>
      <c r="W35" s="1356"/>
      <c r="Y35" s="1031" t="s">
        <v>647</v>
      </c>
      <c r="Z35" s="1357" t="s">
        <v>648</v>
      </c>
      <c r="AA35" s="1357"/>
      <c r="AB35" s="1357"/>
      <c r="AC35" s="1357"/>
      <c r="AD35" s="1357"/>
    </row>
    <row r="36" spans="14:30">
      <c r="N36" s="1031" t="s">
        <v>645</v>
      </c>
      <c r="O36" s="1356" t="s">
        <v>649</v>
      </c>
      <c r="P36" s="1356"/>
      <c r="Q36" s="1356"/>
      <c r="R36" s="1356"/>
      <c r="S36" s="1356"/>
      <c r="T36" s="1356"/>
      <c r="U36" s="1356"/>
      <c r="V36" s="1356"/>
      <c r="W36" s="1356"/>
      <c r="Y36" s="1031" t="s">
        <v>650</v>
      </c>
      <c r="Z36" s="1357" t="s">
        <v>651</v>
      </c>
      <c r="AA36" s="1357"/>
      <c r="AB36" s="1357"/>
      <c r="AC36" s="1357"/>
      <c r="AD36" s="1357"/>
    </row>
    <row r="37" spans="14:30">
      <c r="N37" s="1031" t="s">
        <v>652</v>
      </c>
      <c r="O37" s="1356" t="s">
        <v>653</v>
      </c>
      <c r="P37" s="1356"/>
      <c r="Q37" s="1356"/>
      <c r="R37" s="1356"/>
      <c r="S37" s="1356"/>
      <c r="T37" s="1356"/>
      <c r="U37" s="1356"/>
      <c r="V37" s="1356"/>
      <c r="W37" s="1356"/>
      <c r="Y37" s="1031" t="s">
        <v>641</v>
      </c>
      <c r="Z37" s="1357" t="s">
        <v>642</v>
      </c>
      <c r="AA37" s="1357"/>
      <c r="AB37" s="1357"/>
      <c r="AC37" s="1357"/>
      <c r="AD37" s="1357"/>
    </row>
    <row r="38" spans="14:30">
      <c r="N38" s="1031" t="s">
        <v>647</v>
      </c>
      <c r="O38" s="1356" t="s">
        <v>654</v>
      </c>
      <c r="P38" s="1356"/>
      <c r="Q38" s="1356"/>
      <c r="R38" s="1356"/>
      <c r="S38" s="1356"/>
      <c r="T38" s="1356"/>
      <c r="U38" s="1356"/>
      <c r="V38" s="1356"/>
      <c r="W38" s="1356"/>
      <c r="Y38" s="1032" t="s">
        <v>643</v>
      </c>
      <c r="Z38" s="1359" t="s">
        <v>644</v>
      </c>
      <c r="AA38" s="1359"/>
      <c r="AB38" s="1359"/>
      <c r="AC38" s="1359"/>
      <c r="AD38" s="1359"/>
    </row>
    <row r="39" spans="14:30">
      <c r="N39" s="1032" t="s">
        <v>650</v>
      </c>
      <c r="O39" s="1358" t="s">
        <v>655</v>
      </c>
      <c r="P39" s="1358"/>
      <c r="Q39" s="1358"/>
      <c r="R39" s="1358"/>
      <c r="S39" s="1358"/>
      <c r="T39" s="1358"/>
      <c r="U39" s="1358"/>
      <c r="V39" s="1358"/>
      <c r="W39" s="1358"/>
    </row>
  </sheetData>
  <sheetProtection algorithmName="SHA-512" hashValue="KQ5JoqZjwczvHbX446bF+MX03obSdu+sqCG7SUNJ3K+bMaewobhSCXhY5yxyU93N5yRtZ30OG7jB4yIzyXK6iw==" saltValue="wDTQwB86QBIxrt76iCPbe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d/JM58k7fuHzkzglJdl3BOsH1mLLt29DgPhCqNqTyBt/EJ6uZU/mOtUvxwsYIRtE721gfIwBkTC/3Dta8hVsA==" saltValue="01PDOBtbUvEHonkzdBO8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581</v>
      </c>
      <c r="ED5" s="1465" t="s">
        <v>582</v>
      </c>
      <c r="EE5" s="1465" t="s">
        <v>615</v>
      </c>
      <c r="EF5" s="1465" t="s">
        <v>619</v>
      </c>
      <c r="EG5" s="1468" t="s">
        <v>617</v>
      </c>
      <c r="EH5" s="1468" t="s">
        <v>618</v>
      </c>
      <c r="EI5" s="1468" t="s">
        <v>584</v>
      </c>
      <c r="EJ5" s="1468" t="s">
        <v>585</v>
      </c>
      <c r="EK5" s="1477" t="s">
        <v>662</v>
      </c>
      <c r="EL5" s="1480" t="s">
        <v>678</v>
      </c>
      <c r="EM5" s="1481"/>
      <c r="EN5" s="1482"/>
      <c r="EO5" s="1381" t="s">
        <v>735</v>
      </c>
      <c r="EP5" s="1381" t="s">
        <v>737</v>
      </c>
      <c r="EQ5" s="1381" t="s">
        <v>738</v>
      </c>
      <c r="ER5" s="1381" t="s">
        <v>743</v>
      </c>
      <c r="ES5" s="1381" t="s">
        <v>748</v>
      </c>
      <c r="ET5" s="1474" t="s">
        <v>812</v>
      </c>
      <c r="EU5" s="1474" t="s">
        <v>813</v>
      </c>
      <c r="EV5" s="1378" t="s">
        <v>829</v>
      </c>
      <c r="EW5" s="1378" t="s">
        <v>834</v>
      </c>
      <c r="EX5" s="1375" t="s">
        <v>846</v>
      </c>
      <c r="EY5" s="1363" t="s">
        <v>851</v>
      </c>
      <c r="EZ5" s="1360" t="s">
        <v>901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734</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c r="EZ8" s="470" t="s">
        <v>900</v>
      </c>
    </row>
    <row r="9" spans="1:156" ht="14.25" customHeight="1">
      <c r="A9" s="20" t="s">
        <v>45</v>
      </c>
      <c r="B9" s="21" t="s">
        <v>402</v>
      </c>
      <c r="C9" s="22" t="s">
        <v>3</v>
      </c>
      <c r="D9" s="23" t="s">
        <v>20</v>
      </c>
      <c r="E9" s="21" t="s">
        <v>21</v>
      </c>
      <c r="F9" s="21">
        <v>32</v>
      </c>
      <c r="G9" s="6"/>
      <c r="H9" s="136" t="s">
        <v>245</v>
      </c>
      <c r="I9" s="180">
        <v>6260</v>
      </c>
      <c r="J9" s="181">
        <v>1915</v>
      </c>
      <c r="K9" s="181">
        <v>1607</v>
      </c>
      <c r="L9" s="181">
        <v>6572</v>
      </c>
      <c r="M9" s="181">
        <v>431</v>
      </c>
      <c r="N9" s="181">
        <v>661</v>
      </c>
      <c r="O9" s="181">
        <v>887</v>
      </c>
      <c r="P9" s="181">
        <v>437</v>
      </c>
      <c r="Q9" s="181">
        <v>523</v>
      </c>
      <c r="R9" s="181">
        <v>6697</v>
      </c>
      <c r="S9" s="181">
        <v>5405</v>
      </c>
      <c r="T9" s="181">
        <v>1922</v>
      </c>
      <c r="U9" s="181">
        <v>2076</v>
      </c>
      <c r="V9" s="181">
        <v>5253</v>
      </c>
      <c r="W9" s="181">
        <v>396</v>
      </c>
      <c r="X9" s="188">
        <v>835</v>
      </c>
      <c r="Y9" s="191">
        <v>181</v>
      </c>
      <c r="Z9" s="181">
        <v>94</v>
      </c>
      <c r="AA9" s="181">
        <v>94</v>
      </c>
      <c r="AB9" s="181">
        <v>181</v>
      </c>
      <c r="AC9" s="181">
        <v>0</v>
      </c>
      <c r="AD9" s="181">
        <v>0</v>
      </c>
      <c r="AE9" s="181">
        <v>0</v>
      </c>
      <c r="AF9" s="188">
        <v>0</v>
      </c>
      <c r="AG9" s="191">
        <v>172</v>
      </c>
      <c r="AH9" s="181">
        <v>89</v>
      </c>
      <c r="AI9" s="181">
        <v>111</v>
      </c>
      <c r="AJ9" s="192">
        <v>150</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5577</v>
      </c>
      <c r="AZ9" s="123">
        <f>IF(ISNUMBER(IF(J_V="SI",T9,T9+AH9)),IF(J_V="SI",T9,T9+AH9)," - ")</f>
        <v>2011</v>
      </c>
      <c r="BA9" s="124">
        <f>IF(ISNUMBER(IF(J_V="SI",U9,U9+AI9)),IF(J_V="SI",U9,U9+AI9)," - ")</f>
        <v>2187</v>
      </c>
      <c r="BB9" s="124">
        <f>IF(ISNUMBER(IF(J_V="SI",V9,V9+AJ9)),IF(J_V="SI",V9,V9+AJ9)," - ")</f>
        <v>5403</v>
      </c>
      <c r="BC9" s="125">
        <f>IF(ISNUMBER(X9),X9," - ")</f>
        <v>835</v>
      </c>
      <c r="BD9" s="126">
        <f>IF(ISNUMBER(BA9/AZ9),BA9/AZ9," - ")</f>
        <v>1.087518647439085</v>
      </c>
      <c r="BE9" s="127">
        <f>IF(ISNUMBER(BB9/BA9),BB9/BA9, " - ")</f>
        <v>2.4705075445816185</v>
      </c>
      <c r="BF9" s="127">
        <f>IF(ISNUMBER(BC9/BA9),BC9/BA9, " - ")</f>
        <v>0.3818015546410608</v>
      </c>
      <c r="BG9" s="196">
        <f>IF(ISNUMBER((AY9+AZ9)/BA9),(AY9+AZ9)/BA9," - ")</f>
        <v>3.4695930498399634</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106</v>
      </c>
      <c r="J10" s="181">
        <v>42</v>
      </c>
      <c r="K10" s="181">
        <v>42</v>
      </c>
      <c r="L10" s="181">
        <v>106</v>
      </c>
      <c r="M10" s="181">
        <v>27</v>
      </c>
      <c r="N10" s="181">
        <v>12</v>
      </c>
      <c r="O10" s="181">
        <v>3</v>
      </c>
      <c r="P10" s="181">
        <v>1</v>
      </c>
      <c r="Q10" s="181">
        <v>2</v>
      </c>
      <c r="R10" s="181">
        <v>40</v>
      </c>
      <c r="S10" s="181">
        <v>51</v>
      </c>
      <c r="T10" s="181">
        <v>39</v>
      </c>
      <c r="U10" s="181">
        <v>23</v>
      </c>
      <c r="V10" s="181">
        <v>67</v>
      </c>
      <c r="W10" s="181">
        <v>5</v>
      </c>
      <c r="X10" s="188">
        <v>12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51</v>
      </c>
      <c r="AZ10" s="129">
        <f t="shared" si="0"/>
        <v>39</v>
      </c>
      <c r="BA10" s="129">
        <f t="shared" si="0"/>
        <v>23</v>
      </c>
      <c r="BB10" s="129">
        <f t="shared" si="0"/>
        <v>67</v>
      </c>
      <c r="BC10" s="125">
        <f t="shared" si="0"/>
        <v>5</v>
      </c>
      <c r="BD10" s="126">
        <f>IF(ISNUMBER(BA10/AZ10),BA10/AZ10," - ")</f>
        <v>0.58974358974358976</v>
      </c>
      <c r="BE10" s="127">
        <f>IF(ISNUMBER(BB10/BA10),BB10/BA10, " - ")</f>
        <v>2.9130434782608696</v>
      </c>
      <c r="BF10" s="127">
        <f>IF(ISNUMBER(BC10/BA10),BC10/BA10, " - ")</f>
        <v>0.21739130434782608</v>
      </c>
      <c r="BG10" s="196">
        <f>IF(ISNUMBER((AY10+AZ10)/BA10),(AY10+AZ10)/BA10," - ")</f>
        <v>3.9130434782608696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v>
      </c>
      <c r="J12" s="183">
        <v>2</v>
      </c>
      <c r="K12" s="183">
        <v>2</v>
      </c>
      <c r="L12" s="183">
        <v>1</v>
      </c>
      <c r="M12" s="183">
        <v>0</v>
      </c>
      <c r="N12" s="183">
        <v>2</v>
      </c>
      <c r="O12" s="181">
        <v>2</v>
      </c>
      <c r="P12" s="183">
        <v>0</v>
      </c>
      <c r="Q12" s="183">
        <v>2</v>
      </c>
      <c r="R12" s="183">
        <v>31</v>
      </c>
      <c r="S12" s="183">
        <v>2</v>
      </c>
      <c r="T12" s="183">
        <v>0</v>
      </c>
      <c r="U12" s="183">
        <v>0</v>
      </c>
      <c r="V12" s="183">
        <v>2</v>
      </c>
      <c r="W12" s="183">
        <v>0</v>
      </c>
      <c r="X12" s="189">
        <v>0</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794</v>
      </c>
      <c r="AT12" s="203"/>
      <c r="AU12" s="202"/>
      <c r="AV12" s="203"/>
      <c r="AW12" s="202"/>
      <c r="AX12" s="203"/>
      <c r="AY12" s="126">
        <f t="shared" si="1"/>
        <v>2</v>
      </c>
      <c r="AZ12" s="127">
        <f t="shared" si="1"/>
        <v>0</v>
      </c>
      <c r="BA12" s="127">
        <f t="shared" si="1"/>
        <v>0</v>
      </c>
      <c r="BB12" s="127">
        <f t="shared" si="1"/>
        <v>2</v>
      </c>
      <c r="BC12" s="125">
        <f>IF(ISNUMBER(X12),X12," - ")</f>
        <v>0</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6367</v>
      </c>
      <c r="J13" s="184">
        <f t="shared" si="6"/>
        <v>1959</v>
      </c>
      <c r="K13" s="184">
        <f t="shared" si="6"/>
        <v>1651</v>
      </c>
      <c r="L13" s="184">
        <f t="shared" si="6"/>
        <v>6679</v>
      </c>
      <c r="M13" s="184">
        <f t="shared" si="6"/>
        <v>458</v>
      </c>
      <c r="N13" s="184">
        <f t="shared" si="6"/>
        <v>675</v>
      </c>
      <c r="O13" s="184">
        <f t="shared" si="6"/>
        <v>892</v>
      </c>
      <c r="P13" s="184">
        <f t="shared" si="6"/>
        <v>438</v>
      </c>
      <c r="Q13" s="184">
        <f t="shared" si="6"/>
        <v>527</v>
      </c>
      <c r="R13" s="184">
        <f t="shared" si="6"/>
        <v>6768</v>
      </c>
      <c r="S13" s="184">
        <f t="shared" si="6"/>
        <v>5458</v>
      </c>
      <c r="T13" s="184">
        <f t="shared" si="6"/>
        <v>1961</v>
      </c>
      <c r="U13" s="184">
        <f t="shared" si="6"/>
        <v>2099</v>
      </c>
      <c r="V13" s="184">
        <f t="shared" si="6"/>
        <v>5322</v>
      </c>
      <c r="W13" s="184">
        <f t="shared" si="6"/>
        <v>401</v>
      </c>
      <c r="X13" s="184">
        <f t="shared" si="6"/>
        <v>847</v>
      </c>
      <c r="Y13" s="184">
        <f t="shared" si="6"/>
        <v>181</v>
      </c>
      <c r="Z13" s="184">
        <f t="shared" si="6"/>
        <v>94</v>
      </c>
      <c r="AA13" s="184">
        <f t="shared" si="6"/>
        <v>94</v>
      </c>
      <c r="AB13" s="184">
        <f t="shared" si="6"/>
        <v>181</v>
      </c>
      <c r="AC13" s="184">
        <f t="shared" si="6"/>
        <v>0</v>
      </c>
      <c r="AD13" s="184">
        <f t="shared" si="6"/>
        <v>0</v>
      </c>
      <c r="AE13" s="184">
        <f t="shared" si="6"/>
        <v>0</v>
      </c>
      <c r="AF13" s="184">
        <f>SUBTOTAL(9,AF9:AF12)</f>
        <v>0</v>
      </c>
      <c r="AG13" s="184">
        <f t="shared" ref="AG13:AT13" si="7">SUBTOTAL(9,AG8:AG12)</f>
        <v>172</v>
      </c>
      <c r="AH13" s="184">
        <f t="shared" si="7"/>
        <v>89</v>
      </c>
      <c r="AI13" s="184">
        <f t="shared" si="7"/>
        <v>111</v>
      </c>
      <c r="AJ13" s="184">
        <f t="shared" si="7"/>
        <v>150</v>
      </c>
      <c r="AK13" s="184">
        <f t="shared" si="7"/>
        <v>0</v>
      </c>
      <c r="AL13" s="184">
        <f t="shared" si="7"/>
        <v>0</v>
      </c>
      <c r="AM13" s="184">
        <f t="shared" si="7"/>
        <v>0</v>
      </c>
      <c r="AN13" s="184">
        <f t="shared" si="7"/>
        <v>0</v>
      </c>
      <c r="AO13" s="184">
        <f t="shared" si="7"/>
        <v>6</v>
      </c>
      <c r="AP13" s="184">
        <f t="shared" si="7"/>
        <v>6</v>
      </c>
      <c r="AQ13" s="184">
        <f t="shared" si="7"/>
        <v>6</v>
      </c>
      <c r="AR13" s="184">
        <f t="shared" si="7"/>
        <v>6</v>
      </c>
      <c r="AS13" s="184">
        <f t="shared" si="7"/>
        <v>0</v>
      </c>
      <c r="AT13" s="184">
        <f t="shared" si="7"/>
        <v>0</v>
      </c>
      <c r="AU13" s="204"/>
      <c r="AV13" s="132"/>
      <c r="AW13" s="204"/>
      <c r="AX13" s="132"/>
      <c r="AY13" s="184">
        <f>SUBTOTAL(9,AY8:AY12)</f>
        <v>5630</v>
      </c>
      <c r="AZ13" s="184">
        <f>SUBTOTAL(9,AZ8:AZ12)</f>
        <v>2050</v>
      </c>
      <c r="BA13" s="184">
        <f>SUBTOTAL(9,BA8:BA12)</f>
        <v>2210</v>
      </c>
      <c r="BB13" s="184">
        <f>SUBTOTAL(9,BB8:BB12)</f>
        <v>5472</v>
      </c>
      <c r="BC13" s="184">
        <f>SUBTOTAL(9,BC8:BC12)</f>
        <v>840</v>
      </c>
      <c r="BD13" s="205">
        <f>IF(ISNUMBER(BA13/AZ13),BA13/AZ13," - ")</f>
        <v>1.0780487804878049</v>
      </c>
      <c r="BE13" s="206">
        <f>IF(ISNUMBER(BB13/BA13),BB13/BA13, " - ")</f>
        <v>2.4760180995475114</v>
      </c>
      <c r="BF13" s="206">
        <f>IF(ISNUMBER(BC13/BA13),BC13/BA13, " - ")</f>
        <v>0.38009049773755654</v>
      </c>
      <c r="BG13" s="207">
        <f>IF(ISNUMBER((AY13+AZ13)/BA13),(AY13+AZ13)/BA13," - ")</f>
        <v>3.4751131221719458</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3158</v>
      </c>
      <c r="J15" s="183">
        <v>2557</v>
      </c>
      <c r="K15" s="183">
        <v>2606</v>
      </c>
      <c r="L15" s="183">
        <v>3192</v>
      </c>
      <c r="M15" s="183">
        <v>395</v>
      </c>
      <c r="N15" s="183">
        <v>1441</v>
      </c>
      <c r="O15" s="181">
        <v>56</v>
      </c>
      <c r="P15" s="183">
        <v>163</v>
      </c>
      <c r="Q15" s="183">
        <v>109</v>
      </c>
      <c r="R15" s="183">
        <v>359</v>
      </c>
      <c r="S15" s="183">
        <v>2324</v>
      </c>
      <c r="T15" s="183">
        <v>2203</v>
      </c>
      <c r="U15" s="183">
        <v>1845</v>
      </c>
      <c r="V15" s="183">
        <v>2706</v>
      </c>
      <c r="W15" s="183">
        <v>318</v>
      </c>
      <c r="X15" s="189">
        <v>1023</v>
      </c>
      <c r="Y15" s="202">
        <v>0</v>
      </c>
      <c r="Z15" s="183">
        <v>0</v>
      </c>
      <c r="AA15" s="183">
        <v>0</v>
      </c>
      <c r="AB15" s="183">
        <v>0</v>
      </c>
      <c r="AC15" s="183">
        <v>0</v>
      </c>
      <c r="AD15" s="183">
        <v>1</v>
      </c>
      <c r="AE15" s="183">
        <v>1</v>
      </c>
      <c r="AF15" s="189">
        <v>0</v>
      </c>
      <c r="AG15" s="202">
        <v>0</v>
      </c>
      <c r="AH15" s="183">
        <v>0</v>
      </c>
      <c r="AI15" s="183">
        <v>0</v>
      </c>
      <c r="AJ15" s="203">
        <v>0</v>
      </c>
      <c r="AK15" s="182">
        <v>0</v>
      </c>
      <c r="AL15" s="183">
        <v>3</v>
      </c>
      <c r="AM15" s="183">
        <v>3</v>
      </c>
      <c r="AN15" s="189">
        <v>0</v>
      </c>
      <c r="AO15" s="259">
        <v>4</v>
      </c>
      <c r="AP15" s="155">
        <v>4</v>
      </c>
      <c r="AQ15" s="155">
        <v>4</v>
      </c>
      <c r="AR15" s="155">
        <v>4</v>
      </c>
      <c r="AS15" s="340" t="s">
        <v>519</v>
      </c>
      <c r="AT15" s="203" t="s">
        <v>326</v>
      </c>
      <c r="AU15" s="202"/>
      <c r="AV15" s="203"/>
      <c r="AW15" s="202"/>
      <c r="AX15" s="203"/>
      <c r="AY15" s="128">
        <f t="shared" ref="AY15:BB16" si="9">IF(ISNUMBER(IF(D_I="SI",S15,S15+AK15)),IF(D_I="SI",S15,S15+AK15)," - ")</f>
        <v>2324</v>
      </c>
      <c r="AZ15" s="129">
        <f t="shared" si="9"/>
        <v>2203</v>
      </c>
      <c r="BA15" s="129">
        <f t="shared" si="9"/>
        <v>1845</v>
      </c>
      <c r="BB15" s="129">
        <f t="shared" si="9"/>
        <v>2706</v>
      </c>
      <c r="BC15" s="125">
        <f>IF(ISNUMBER(W15),W15," - ")</f>
        <v>318</v>
      </c>
      <c r="BD15" s="126">
        <f>IF(ISNUMBER(BA15/AZ15),BA15/AZ15," - ")</f>
        <v>0.83749432591920114</v>
      </c>
      <c r="BE15" s="127">
        <f>IF(ISNUMBER(BB15/BA15),BB15/BA15, " - ")</f>
        <v>1.4666666666666666</v>
      </c>
      <c r="BF15" s="127">
        <f>IF(ISNUMBER(BC15/BA15),BC15/BA15, " - ")</f>
        <v>0.17235772357723578</v>
      </c>
      <c r="BG15" s="196">
        <f t="shared" ref="BG15:BG16" si="10">IF(ISNUMBER((AY15+AZ15)/BA15),(AY15+AZ15)/BA15," - ")</f>
        <v>2.4536585365853658</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v>
      </c>
      <c r="J16" s="183">
        <v>0</v>
      </c>
      <c r="K16" s="183">
        <v>0</v>
      </c>
      <c r="L16" s="183">
        <v>2</v>
      </c>
      <c r="M16" s="183">
        <v>0</v>
      </c>
      <c r="N16" s="183">
        <v>0</v>
      </c>
      <c r="O16" s="181">
        <v>0</v>
      </c>
      <c r="P16" s="183">
        <v>0</v>
      </c>
      <c r="Q16" s="183">
        <v>0</v>
      </c>
      <c r="R16" s="183">
        <v>0</v>
      </c>
      <c r="S16" s="183">
        <v>2</v>
      </c>
      <c r="T16" s="183">
        <v>0</v>
      </c>
      <c r="U16" s="183">
        <v>0</v>
      </c>
      <c r="V16" s="183">
        <v>2</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2</v>
      </c>
      <c r="AZ16" s="127">
        <f t="shared" si="9"/>
        <v>0</v>
      </c>
      <c r="BA16" s="127">
        <f t="shared" si="9"/>
        <v>0</v>
      </c>
      <c r="BB16" s="127">
        <f t="shared" si="9"/>
        <v>2</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301</v>
      </c>
      <c r="J17" s="183">
        <v>456</v>
      </c>
      <c r="K17" s="183">
        <v>425</v>
      </c>
      <c r="L17" s="183">
        <v>332</v>
      </c>
      <c r="M17" s="183">
        <v>58</v>
      </c>
      <c r="N17" s="183">
        <v>166</v>
      </c>
      <c r="O17" s="183">
        <v>2</v>
      </c>
      <c r="P17" s="183">
        <v>3</v>
      </c>
      <c r="Q17" s="183">
        <v>4</v>
      </c>
      <c r="R17" s="183">
        <v>5</v>
      </c>
      <c r="S17" s="183">
        <v>192</v>
      </c>
      <c r="T17" s="183">
        <v>478</v>
      </c>
      <c r="U17" s="183">
        <v>454</v>
      </c>
      <c r="V17" s="183">
        <v>217</v>
      </c>
      <c r="W17" s="183">
        <v>62</v>
      </c>
      <c r="X17" s="189">
        <v>190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192</v>
      </c>
      <c r="AZ17" s="129">
        <f t="shared" si="14"/>
        <v>478</v>
      </c>
      <c r="BA17" s="129">
        <f t="shared" si="14"/>
        <v>454</v>
      </c>
      <c r="BB17" s="129">
        <f t="shared" si="14"/>
        <v>217</v>
      </c>
      <c r="BC17" s="125">
        <f>IF(ISNUMBER(W17),W17," - ")</f>
        <v>62</v>
      </c>
      <c r="BD17" s="126">
        <f>IF(ISNUMBER(BA17/AZ17),BA17/AZ17," - ")</f>
        <v>0.94979079497907948</v>
      </c>
      <c r="BE17" s="127">
        <f>IF(ISNUMBER(BB17/BA17),BB17/BA17, " - ")</f>
        <v>0.47797356828193832</v>
      </c>
      <c r="BF17" s="127">
        <f>IF(ISNUMBER(BC17/BA17),BC17/BA17, " - ")</f>
        <v>0.13656387665198239</v>
      </c>
      <c r="BG17" s="196">
        <f>IF(ISNUMBER((AY17+AZ17)/BA17),(AY17+AZ17)/BA17," - ")</f>
        <v>1.4757709251101321</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3461</v>
      </c>
      <c r="J18" s="184">
        <f t="shared" si="15"/>
        <v>3013</v>
      </c>
      <c r="K18" s="184">
        <f t="shared" si="15"/>
        <v>3031</v>
      </c>
      <c r="L18" s="184">
        <f t="shared" si="15"/>
        <v>3526</v>
      </c>
      <c r="M18" s="184">
        <f t="shared" si="15"/>
        <v>453</v>
      </c>
      <c r="N18" s="184">
        <f t="shared" si="15"/>
        <v>1607</v>
      </c>
      <c r="O18" s="184">
        <f t="shared" si="15"/>
        <v>58</v>
      </c>
      <c r="P18" s="184">
        <f t="shared" si="15"/>
        <v>166</v>
      </c>
      <c r="Q18" s="184">
        <f t="shared" si="15"/>
        <v>113</v>
      </c>
      <c r="R18" s="184">
        <f t="shared" si="15"/>
        <v>364</v>
      </c>
      <c r="S18" s="184">
        <f t="shared" si="15"/>
        <v>2518</v>
      </c>
      <c r="T18" s="184">
        <f t="shared" si="15"/>
        <v>2681</v>
      </c>
      <c r="U18" s="184">
        <f t="shared" si="15"/>
        <v>2299</v>
      </c>
      <c r="V18" s="184">
        <f t="shared" si="15"/>
        <v>2925</v>
      </c>
      <c r="W18" s="184">
        <f t="shared" si="15"/>
        <v>380</v>
      </c>
      <c r="X18" s="184">
        <f t="shared" si="15"/>
        <v>1213</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2518</v>
      </c>
      <c r="AZ18" s="184">
        <f>SUBTOTAL(9,AZ14:AZ17)</f>
        <v>2681</v>
      </c>
      <c r="BA18" s="184">
        <f>SUBTOTAL(9,BA14:BA17)</f>
        <v>2299</v>
      </c>
      <c r="BB18" s="184">
        <f>SUBTOTAL(9,BB14:BB17)</f>
        <v>2925</v>
      </c>
      <c r="BC18" s="184">
        <f>SUBTOTAL(9,BC14:BC17)</f>
        <v>380</v>
      </c>
      <c r="BD18" s="205">
        <f>IF(ISNUMBER(BA18/AZ18),BA18/AZ18," - ")</f>
        <v>0.85751585229392013</v>
      </c>
      <c r="BE18" s="206">
        <f>IF(ISNUMBER(BB18/BA18),BB18/BA18, " - ")</f>
        <v>1.272292301000435</v>
      </c>
      <c r="BF18" s="206">
        <f>IF(ISNUMBER(BC18/BA18),BC18/BA18, " - ")</f>
        <v>0.16528925619834711</v>
      </c>
      <c r="BG18" s="207">
        <f>IF(ISNUMBER((AY18+AZ18)/BA18),(AY18+AZ18)/BA18," - ")</f>
        <v>2.2614180078294912</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9828</v>
      </c>
      <c r="J19" s="134">
        <f t="shared" si="18"/>
        <v>4972</v>
      </c>
      <c r="K19" s="134">
        <f t="shared" si="18"/>
        <v>4682</v>
      </c>
      <c r="L19" s="134">
        <f t="shared" si="18"/>
        <v>10205</v>
      </c>
      <c r="M19" s="134">
        <f t="shared" si="18"/>
        <v>911</v>
      </c>
      <c r="N19" s="134">
        <f t="shared" si="18"/>
        <v>2282</v>
      </c>
      <c r="O19" s="134">
        <f t="shared" si="18"/>
        <v>950</v>
      </c>
      <c r="P19" s="134">
        <f t="shared" si="18"/>
        <v>604</v>
      </c>
      <c r="Q19" s="134">
        <f t="shared" si="18"/>
        <v>640</v>
      </c>
      <c r="R19" s="134">
        <f t="shared" si="18"/>
        <v>7132</v>
      </c>
      <c r="S19" s="134">
        <f t="shared" si="18"/>
        <v>7976</v>
      </c>
      <c r="T19" s="134">
        <f t="shared" si="18"/>
        <v>4642</v>
      </c>
      <c r="U19" s="134">
        <f t="shared" si="18"/>
        <v>4398</v>
      </c>
      <c r="V19" s="134">
        <f t="shared" si="18"/>
        <v>8247</v>
      </c>
      <c r="W19" s="134">
        <f t="shared" si="18"/>
        <v>781</v>
      </c>
      <c r="X19" s="134">
        <f t="shared" si="18"/>
        <v>2060</v>
      </c>
      <c r="Y19" s="134">
        <f t="shared" si="18"/>
        <v>181</v>
      </c>
      <c r="Z19" s="134">
        <f t="shared" si="18"/>
        <v>94</v>
      </c>
      <c r="AA19" s="134">
        <f t="shared" si="18"/>
        <v>94</v>
      </c>
      <c r="AB19" s="134">
        <f t="shared" si="18"/>
        <v>181</v>
      </c>
      <c r="AC19" s="134">
        <f t="shared" si="18"/>
        <v>0</v>
      </c>
      <c r="AD19" s="134">
        <f t="shared" si="18"/>
        <v>1</v>
      </c>
      <c r="AE19" s="134">
        <f t="shared" si="18"/>
        <v>1</v>
      </c>
      <c r="AF19" s="134">
        <f t="shared" si="18"/>
        <v>0</v>
      </c>
      <c r="AG19" s="134">
        <f t="shared" si="18"/>
        <v>172</v>
      </c>
      <c r="AH19" s="134">
        <f t="shared" si="18"/>
        <v>89</v>
      </c>
      <c r="AI19" s="134">
        <f t="shared" si="18"/>
        <v>111</v>
      </c>
      <c r="AJ19" s="134">
        <f t="shared" si="18"/>
        <v>150</v>
      </c>
      <c r="AK19" s="134">
        <f t="shared" si="18"/>
        <v>0</v>
      </c>
      <c r="AL19" s="134">
        <f t="shared" si="18"/>
        <v>3</v>
      </c>
      <c r="AM19" s="134">
        <f t="shared" si="18"/>
        <v>3</v>
      </c>
      <c r="AN19" s="210">
        <f t="shared" si="18"/>
        <v>0</v>
      </c>
      <c r="AO19" s="211">
        <v>10</v>
      </c>
      <c r="AP19" s="211">
        <v>10</v>
      </c>
      <c r="AQ19" s="211">
        <v>10</v>
      </c>
      <c r="AR19" s="211">
        <v>10</v>
      </c>
      <c r="AS19" s="153">
        <f t="shared" si="18"/>
        <v>0</v>
      </c>
      <c r="AT19" s="153">
        <f t="shared" si="18"/>
        <v>0</v>
      </c>
      <c r="AU19" s="211"/>
      <c r="AV19" s="212"/>
      <c r="AW19" s="211"/>
      <c r="AX19" s="212"/>
      <c r="AY19" s="133">
        <f>SUBTOTAL(9,AY9:AY18)</f>
        <v>8148</v>
      </c>
      <c r="AZ19" s="134">
        <f>SUBTOTAL(9,AZ9:AZ18)</f>
        <v>4731</v>
      </c>
      <c r="BA19" s="134">
        <f>SUBTOTAL(9,BA9:BA18)</f>
        <v>4509</v>
      </c>
      <c r="BB19" s="134">
        <f>SUBTOTAL(9,BB9:BB18)</f>
        <v>8397</v>
      </c>
      <c r="BC19" s="135">
        <f>SUBTOTAL(9,BC9:BC18)</f>
        <v>1220</v>
      </c>
      <c r="BD19" s="213">
        <f>IF(ISNUMBER(BA19/AZ19),BA19/AZ19," - ")</f>
        <v>0.95307545973367158</v>
      </c>
      <c r="BE19" s="210">
        <f>IF(ISNUMBER(BB19/BA19),BB19/BA19, " - ")</f>
        <v>1.8622754491017963</v>
      </c>
      <c r="BF19" s="210">
        <f>IF(ISNUMBER(BC19/BA19),BC19/BA19, " - ")</f>
        <v>0.27056997116877357</v>
      </c>
      <c r="BG19" s="135">
        <f>IF(ISNUMBER((AY19+AZ19)/BA19),(AY19+AZ19)/BA19," - ")</f>
        <v>2.8562874251497008</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DSA0x7JOwGEAdpwUouVuqLz+OBIQn65uHgAkIJjYupAQbFYQ5EkOqoSWr05J5oBfdkLchvVjTE3Z32M5b1z4Q==" saltValue="mmCCyCaFOmn4YXsbHt+NV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476</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612</v>
      </c>
      <c r="ED5" s="1465" t="s">
        <v>582</v>
      </c>
      <c r="EE5" s="1465" t="s">
        <v>615</v>
      </c>
      <c r="EF5" s="1465" t="s">
        <v>616</v>
      </c>
      <c r="EG5" s="1468" t="s">
        <v>617</v>
      </c>
      <c r="EH5" s="1468" t="s">
        <v>618</v>
      </c>
      <c r="EI5" s="1468" t="s">
        <v>584</v>
      </c>
      <c r="EJ5" s="1468" t="s">
        <v>585</v>
      </c>
      <c r="EK5" s="1489" t="s">
        <v>662</v>
      </c>
      <c r="EL5" s="1480" t="s">
        <v>678</v>
      </c>
      <c r="EM5" s="1481"/>
      <c r="EN5" s="1482"/>
      <c r="EO5" s="1381" t="s">
        <v>735</v>
      </c>
      <c r="EP5" s="1381" t="s">
        <v>737</v>
      </c>
      <c r="EQ5" s="1381" t="s">
        <v>738</v>
      </c>
      <c r="ER5" s="1381" t="s">
        <v>743</v>
      </c>
      <c r="ES5" s="1381" t="s">
        <v>748</v>
      </c>
      <c r="ET5" s="1474" t="s">
        <v>812</v>
      </c>
      <c r="EU5" s="1474" t="s">
        <v>813</v>
      </c>
      <c r="EV5" s="1384" t="s">
        <v>829</v>
      </c>
      <c r="EW5" s="1468" t="s">
        <v>832</v>
      </c>
      <c r="EX5" s="1375" t="s">
        <v>846</v>
      </c>
      <c r="EY5" s="1363" t="s">
        <v>851</v>
      </c>
      <c r="EZ5" s="1360" t="s">
        <v>899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734</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679</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c r="EZ8" s="470" t="s">
        <v>900</v>
      </c>
    </row>
    <row r="9" spans="1:156"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c r="EZ9" s="156"/>
    </row>
    <row r="10" spans="1:156"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c r="EZ11" s="289"/>
    </row>
    <row r="12" spans="1:156"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c r="EZ15" s="155"/>
    </row>
    <row r="16" spans="1:156"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tp8Aey99CNlYMwj+C0c24o2M44150stUF7Ml2ruWN0oR/Od7Y7YNZyQDQ3YUN3YB/oza0muFKRAYuDDSLrFPw==" saltValue="c8q8jz+QR+QM3CdA/2fq6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BENIDORM</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552</v>
      </c>
      <c r="F5" s="1503" t="s">
        <v>406</v>
      </c>
      <c r="G5" s="1492" t="s">
        <v>128</v>
      </c>
      <c r="H5" s="1492" t="s">
        <v>582</v>
      </c>
      <c r="I5" s="1492" t="s">
        <v>553</v>
      </c>
      <c r="J5" s="1492" t="s">
        <v>656</v>
      </c>
      <c r="K5" s="1492" t="s">
        <v>657</v>
      </c>
      <c r="L5" s="1492" t="s">
        <v>554</v>
      </c>
      <c r="M5" s="1492" t="s">
        <v>522</v>
      </c>
      <c r="N5" s="1492" t="s">
        <v>658</v>
      </c>
      <c r="O5" s="1495" t="s">
        <v>580</v>
      </c>
      <c r="P5" s="1492" t="s">
        <v>676</v>
      </c>
      <c r="Q5" s="1492" t="s">
        <v>671</v>
      </c>
      <c r="R5" s="1492" t="s">
        <v>168</v>
      </c>
      <c r="S5" s="1498" t="s">
        <v>668</v>
      </c>
      <c r="T5" s="1498" t="s">
        <v>670</v>
      </c>
      <c r="U5" s="1492" t="s">
        <v>583</v>
      </c>
      <c r="V5" s="1498" t="s">
        <v>555</v>
      </c>
      <c r="W5" s="1492" t="s">
        <v>762</v>
      </c>
      <c r="X5" s="1492" t="s">
        <v>763</v>
      </c>
      <c r="Y5" s="1512" t="s">
        <v>659</v>
      </c>
      <c r="Z5" s="1509" t="s">
        <v>605</v>
      </c>
      <c r="AA5" s="1527" t="s">
        <v>556</v>
      </c>
      <c r="AB5" s="1509" t="s">
        <v>557</v>
      </c>
      <c r="AC5" s="1509" t="s">
        <v>558</v>
      </c>
      <c r="AD5" s="1530" t="s">
        <v>660</v>
      </c>
      <c r="AE5" s="1530" t="s">
        <v>790</v>
      </c>
      <c r="AF5" s="1492" t="s">
        <v>672</v>
      </c>
      <c r="AG5" s="1492" t="s">
        <v>523</v>
      </c>
      <c r="AH5" s="1492" t="s">
        <v>661</v>
      </c>
      <c r="AI5" s="1492" t="s">
        <v>179</v>
      </c>
      <c r="AJ5" s="1492" t="s">
        <v>726</v>
      </c>
      <c r="AK5" s="1492" t="s">
        <v>524</v>
      </c>
      <c r="AL5" s="1492" t="s">
        <v>525</v>
      </c>
      <c r="AM5" s="1492" t="s">
        <v>677</v>
      </c>
      <c r="AN5" s="1492" t="s">
        <v>526</v>
      </c>
      <c r="AO5" s="1492" t="s">
        <v>527</v>
      </c>
      <c r="AP5" s="1492" t="s">
        <v>528</v>
      </c>
      <c r="AQ5" s="1492" t="s">
        <v>529</v>
      </c>
      <c r="AR5" s="1492" t="s">
        <v>662</v>
      </c>
      <c r="AS5" s="1492" t="s">
        <v>182</v>
      </c>
      <c r="AT5" s="1515" t="s">
        <v>180</v>
      </c>
      <c r="AU5" s="1492" t="s">
        <v>673</v>
      </c>
      <c r="AV5" s="1518" t="s">
        <v>674</v>
      </c>
      <c r="AW5" s="1521" t="s">
        <v>531</v>
      </c>
      <c r="AX5" s="1492" t="s">
        <v>532</v>
      </c>
      <c r="AY5" s="1492" t="s">
        <v>603</v>
      </c>
      <c r="AZ5" s="1524" t="s">
        <v>604</v>
      </c>
      <c r="BA5" s="1492" t="s">
        <v>560</v>
      </c>
      <c r="BB5" s="1518" t="s">
        <v>561</v>
      </c>
      <c r="BC5" s="1521" t="s">
        <v>183</v>
      </c>
      <c r="BD5" s="1492" t="s">
        <v>562</v>
      </c>
      <c r="BE5" s="1492" t="s">
        <v>247</v>
      </c>
      <c r="BF5" s="1492" t="s">
        <v>248</v>
      </c>
      <c r="BG5" s="1492" t="s">
        <v>249</v>
      </c>
      <c r="BH5" s="1492" t="s">
        <v>563</v>
      </c>
      <c r="BI5" s="1492" t="s">
        <v>250</v>
      </c>
      <c r="BJ5" s="1492" t="s">
        <v>564</v>
      </c>
      <c r="BK5" s="1492" t="s">
        <v>578</v>
      </c>
      <c r="BL5" s="1492" t="s">
        <v>565</v>
      </c>
      <c r="BM5" s="1492" t="s">
        <v>566</v>
      </c>
      <c r="BN5" s="1492" t="s">
        <v>591</v>
      </c>
      <c r="BO5" s="1492" t="s">
        <v>584</v>
      </c>
      <c r="BP5" s="1492" t="s">
        <v>830</v>
      </c>
      <c r="BQ5" s="1492" t="s">
        <v>833</v>
      </c>
      <c r="BR5" s="1492" t="s">
        <v>835</v>
      </c>
      <c r="BS5" s="1492" t="s">
        <v>585</v>
      </c>
      <c r="BT5" s="1492" t="s">
        <v>567</v>
      </c>
      <c r="BU5" s="1492" t="s">
        <v>530</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94</v>
      </c>
      <c r="O9" s="334"/>
      <c r="P9" s="334"/>
      <c r="Q9" s="226">
        <f>IF(ISNUMBER(Datos!P9),Datos!P9,0)</f>
        <v>437</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523</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181</v>
      </c>
      <c r="AI9" s="334" t="str">
        <f>IF(ISNUMBER(Datos!CD9),Datos!CD9,"-")</f>
        <v>-</v>
      </c>
      <c r="AJ9" s="334" t="str">
        <f>IF(ISNUMBER(Datos!EN9),Datos!EN9," - ")</f>
        <v xml:space="preserve"> - </v>
      </c>
      <c r="AK9" s="334"/>
      <c r="AL9" s="479"/>
      <c r="AM9" s="335">
        <f>IF(ISNUMBER(Datos!R9),Datos!R9," - ")</f>
        <v>6697</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431</v>
      </c>
      <c r="BD9" s="229">
        <f>IF(ISNUMBER(Datos!N9),Datos!N9," - ")</f>
        <v>661</v>
      </c>
      <c r="BE9" s="229" t="str">
        <f>IF(ISNUMBER(Datos!BW9),Datos!BW9," - ")</f>
        <v xml:space="preserve"> - </v>
      </c>
      <c r="BF9" s="228" t="str">
        <f>IF(ISNUMBER(Datos!BX9),Datos!BX9," - ")</f>
        <v xml:space="preserve"> - </v>
      </c>
      <c r="BG9" s="243">
        <f>IF(ISNUMBER(IF(J_V="SI",Datos!K9/Datos!J9,(Datos!K9+Datos!AA9)/(Datos!J9+Datos!Z9))),IF(J_V="SI",Datos!K9/Datos!J9,(Datos!K9+Datos!AA9)/(Datos!J9+Datos!Z9))," - ")</f>
        <v>0.84668989547038331</v>
      </c>
      <c r="BH9" s="260">
        <f>IF(ISNUMBER(((IF(J_V="SI",Datos!L9/Datos!K9,(Datos!L9+Datos!AB9)/(Datos!K9+Datos!AA9)))*11)/factor_trimestre),((IF(J_V="SI",Datos!L9/Datos!K9,(Datos!L9+Datos!AB9)/(Datos!K9+Datos!AA9)))*11)/factor_trimestre," - ")</f>
        <v>11.91005291005291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-1.267875571281144E-2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106</v>
      </c>
      <c r="G10" s="333">
        <f>IF(ISNUMBER(Datos!I10),Datos!I10," - ")</f>
        <v>106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42</v>
      </c>
      <c r="AC10" s="226">
        <f>IF(ISNUMBER(Datos!Q10),Datos!Q10," - ")</f>
        <v>2</v>
      </c>
      <c r="AD10" s="334"/>
      <c r="AE10" s="484"/>
      <c r="AF10" s="332">
        <f>IF(ISNUMBER(Datos!L10),Datos!L10,"-")</f>
        <v>106</v>
      </c>
      <c r="AG10" s="334"/>
      <c r="AH10" s="334"/>
      <c r="AI10" s="334"/>
      <c r="AJ10" s="334"/>
      <c r="AK10" s="334"/>
      <c r="AL10" s="479"/>
      <c r="AM10" s="335">
        <f>IF(ISNUMBER(Datos!R10),Datos!R10," - ")</f>
        <v>40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27</v>
      </c>
      <c r="BD10" s="229">
        <f>IF(ISNUMBER(Datos!N10),Datos!N10," - ")</f>
        <v>12</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7.5714285714285712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-2.4390243902439025E-2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31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v>
      </c>
      <c r="BH12" s="260">
        <f>IF(ISNUMBER(((IF(J_V="SI",Datos!L12/Datos!K12,(Datos!L12+Datos!AB12)/(Datos!K12+Datos!AA12)))*11)/factor_trimestre),((IF(J_V="SI",Datos!L12/Datos!K12,(Datos!L12+Datos!AB12)/(Datos!K12+Datos!AA12)))*11)/factor_trimestre," - ")</f>
        <v>1.5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-6.0606060606060608E-2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106</v>
      </c>
      <c r="G13" s="898">
        <f t="shared" si="0"/>
        <v>106</v>
      </c>
      <c r="H13" s="899">
        <f t="shared" si="0"/>
        <v>0</v>
      </c>
      <c r="I13" s="898">
        <f t="shared" si="0"/>
        <v>0</v>
      </c>
      <c r="J13" s="867">
        <f t="shared" si="0"/>
        <v>0</v>
      </c>
      <c r="K13" s="867">
        <f t="shared" si="0"/>
        <v>0</v>
      </c>
      <c r="L13" s="899">
        <f t="shared" si="0"/>
        <v>0</v>
      </c>
      <c r="M13" s="899">
        <f t="shared" si="0"/>
        <v>0</v>
      </c>
      <c r="N13" s="899">
        <f t="shared" si="0"/>
        <v>94</v>
      </c>
      <c r="O13" s="900">
        <f t="shared" si="0"/>
        <v>0</v>
      </c>
      <c r="P13" s="900">
        <f t="shared" si="0"/>
        <v>0</v>
      </c>
      <c r="Q13" s="899">
        <f t="shared" si="0"/>
        <v>438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42</v>
      </c>
      <c r="AC13" s="899">
        <f t="shared" si="1"/>
        <v>527</v>
      </c>
      <c r="AD13" s="899">
        <f t="shared" si="1"/>
        <v>0</v>
      </c>
      <c r="AE13" s="899">
        <f t="shared" si="1"/>
        <v>0</v>
      </c>
      <c r="AF13" s="899">
        <f t="shared" si="1"/>
        <v>106</v>
      </c>
      <c r="AG13" s="899">
        <f t="shared" si="1"/>
        <v>0</v>
      </c>
      <c r="AH13" s="899">
        <f t="shared" si="1"/>
        <v>181</v>
      </c>
      <c r="AI13" s="899">
        <f t="shared" si="1"/>
        <v>0</v>
      </c>
      <c r="AJ13" s="899">
        <f t="shared" si="1"/>
        <v>0</v>
      </c>
      <c r="AK13" s="899">
        <f t="shared" si="1"/>
        <v>0</v>
      </c>
      <c r="AL13" s="899">
        <f t="shared" si="1"/>
        <v>0</v>
      </c>
      <c r="AM13" s="899">
        <f t="shared" si="1"/>
        <v>6768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458</v>
      </c>
      <c r="BD13" s="899">
        <f t="shared" si="1"/>
        <v>675</v>
      </c>
      <c r="BE13" s="899">
        <f t="shared" si="1"/>
        <v>0</v>
      </c>
      <c r="BF13" s="899">
        <f t="shared" si="1"/>
        <v>0</v>
      </c>
      <c r="BG13" s="899">
        <f>IF(ISNUMBER(Datos!K13/Datos!J13),Datos!K13/Datos!J13," - ")</f>
        <v>0.84277692700357321</v>
      </c>
      <c r="BH13" s="903">
        <f>IF(ISNUMBER(((Datos!L13/Datos!K13)*11)/factor_trimestre),((Datos!L13/Datos!K13)*11)/factor_trimestre," - ")</f>
        <v>12.136281041792854</v>
      </c>
      <c r="BI13" s="899">
        <f>IF(ISNUMBER('Resol  Asuntos'!D13/NºAsuntos!G13),'Resol  Asuntos'!D13/NºAsuntos!G13," - ")</f>
        <v>0.26246418338108884</v>
      </c>
      <c r="BJ13" s="899" t="str">
        <f>IF(ISNUMBER(Datos!CI13/Datos!CJ13),Datos!CI13/Datos!CJ13," - ")</f>
        <v xml:space="preserve"> - </v>
      </c>
      <c r="BK13" s="899">
        <f>SUBTOTAL(9,BK8:BK12)</f>
        <v>0</v>
      </c>
      <c r="BL13" s="899">
        <f>IF(ISNUMBER((I13-AB13+L13)/(F13)),(I13-AB13+L13)/(F13)," - ")</f>
        <v>-0.39622641509433965</v>
      </c>
      <c r="BM13" s="904">
        <f>SUBTOTAL(9,BM9:BM12)</f>
        <v>-9.7675060221311075E-2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3241</v>
      </c>
      <c r="G15" s="598">
        <f>IF(ISNUMBER(IF(D_I="SI",Datos!I15,Datos!I15+Datos!AC15)),IF(D_I="SI",Datos!I15,Datos!I15+Datos!AC15)," - ")</f>
        <v>3158</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163</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2606</v>
      </c>
      <c r="AC15" s="226">
        <f>IF(ISNUMBER(Datos!Q15),Datos!Q15," - ")</f>
        <v>109</v>
      </c>
      <c r="AD15" s="334"/>
      <c r="AE15" s="484"/>
      <c r="AF15" s="596">
        <f>IF(ISNUMBER(IF(D_I="SI",Datos!L15,Datos!L15+Datos!AF15)),IF(D_I="SI",Datos!L15,Datos!L15+Datos!AF15)," - ")</f>
        <v>3192</v>
      </c>
      <c r="AG15" s="334"/>
      <c r="AH15" s="334"/>
      <c r="AI15" s="334"/>
      <c r="AJ15" s="334"/>
      <c r="AK15" s="334"/>
      <c r="AL15" s="479"/>
      <c r="AM15" s="335">
        <f>IF(ISNUMBER(Datos!R15),Datos!R15," - ")</f>
        <v>359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395</v>
      </c>
      <c r="BD15" s="229">
        <f>IF(ISNUMBER(Datos!N15),Datos!N15," - ")</f>
        <v>1441</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1.0191630817364099</v>
      </c>
      <c r="BH15" s="260">
        <f>IF(ISNUMBER(((IF(D_I="SI",Datos!L15/Datos!K15,(Datos!L15+Datos!AF15)/(Datos!K15+Datos!AE15)))*11)/factor_trimestre),((IF(D_I="SI",Datos!L15/Datos!K15,(Datos!L15+Datos!AF15)/(Datos!K15+Datos!AE15)))*11)/factor_trimestre," - ")</f>
        <v>3.6745970836531083</v>
      </c>
      <c r="BI15" s="243">
        <f>IF(ISNUMBER('Resol  Asuntos'!D15/NºAsuntos!G15),'Resol  Asuntos'!D15/NºAsuntos!G15," - ")</f>
        <v>0.1515732924021489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2</v>
      </c>
      <c r="G16" s="598">
        <f>IF(ISNUMBER(IF(D_I="SI",Datos!I16,Datos!I16+Datos!AC16)),IF(D_I="SI",Datos!I16,Datos!I16+Datos!AC16)," - ")</f>
        <v>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2</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301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425</v>
      </c>
      <c r="AC17" s="226">
        <f>IF(ISNUMBER(Datos!Q17),Datos!Q17," - ")</f>
        <v>4</v>
      </c>
      <c r="AD17" s="334"/>
      <c r="AE17" s="484"/>
      <c r="AF17" s="332">
        <f>IF(ISNUMBER(Datos!L17),Datos!L17,"-")</f>
        <v>332</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58</v>
      </c>
      <c r="BD17" s="229">
        <f>IF(ISNUMBER(Datos!N17),Datos!N17," - ")</f>
        <v>166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0.93201754385964908</v>
      </c>
      <c r="BH17" s="260">
        <f>IF(ISNUMBER(((IF(D_I="SI",Datos!L17/Datos!K17,(Datos!L17+Datos!AF17)/(Datos!K17+Datos!AE17)))*11)/factor_trimestre),((IF(D_I="SI",Datos!L17/Datos!K17,(Datos!L17+Datos!AF17)/(Datos!K17+Datos!AE17)))*11)/factor_trimestre," - ")</f>
        <v>2.3435294117647056</v>
      </c>
      <c r="BI17" s="243">
        <f>IF(ISNUMBER('Resol  Asuntos'!D17/NºAsuntos!G17),'Resol  Asuntos'!D17/NºAsuntos!G17," - ")</f>
        <v>0.13647058823529412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3243</v>
      </c>
      <c r="G18" s="898">
        <f>SUBTOTAL(9,G15:G17)</f>
        <v>3461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3031</v>
      </c>
      <c r="AC18" s="899">
        <f t="shared" si="4"/>
        <v>113</v>
      </c>
      <c r="AD18" s="899">
        <f t="shared" si="4"/>
        <v>0</v>
      </c>
      <c r="AE18" s="899">
        <f t="shared" si="4"/>
        <v>0</v>
      </c>
      <c r="AF18" s="899">
        <f t="shared" si="4"/>
        <v>3526</v>
      </c>
      <c r="AG18" s="899">
        <f t="shared" si="4"/>
        <v>0</v>
      </c>
      <c r="AH18" s="899">
        <f t="shared" si="4"/>
        <v>0</v>
      </c>
      <c r="AI18" s="899">
        <f t="shared" si="4"/>
        <v>0</v>
      </c>
      <c r="AJ18" s="899">
        <f t="shared" si="4"/>
        <v>0</v>
      </c>
      <c r="AK18" s="899">
        <f t="shared" si="4"/>
        <v>0</v>
      </c>
      <c r="AL18" s="899">
        <f t="shared" si="4"/>
        <v>0</v>
      </c>
      <c r="AM18" s="899">
        <f t="shared" si="4"/>
        <v>364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453</v>
      </c>
      <c r="BD18" s="899">
        <f t="shared" si="4"/>
        <v>1607</v>
      </c>
      <c r="BE18" s="899">
        <f t="shared" si="4"/>
        <v>0</v>
      </c>
      <c r="BF18" s="899">
        <f t="shared" si="4"/>
        <v>0</v>
      </c>
      <c r="BG18" s="899">
        <f>IF(ISNUMBER(Datos!K18/Datos!J18),Datos!K18/Datos!J18," - ")</f>
        <v>1.005974112180551</v>
      </c>
      <c r="BH18" s="903">
        <f>IF(ISNUMBER(((Datos!L18/Datos!K18)*11)/factor_trimestre),((Datos!L18/Datos!K18)*11)/factor_trimestre," - ")</f>
        <v>3.4899373144176842</v>
      </c>
      <c r="BI18" s="899">
        <f>SUBTOTAL(9,BI15:BI17)</f>
        <v>0.28804388063744302</v>
      </c>
      <c r="BJ18" s="899">
        <f>SUBTOTAL(9,BJ15:BJ17)</f>
        <v>0</v>
      </c>
      <c r="BK18" s="899">
        <f>SUBTOTAL(9,BK15:BK17)</f>
        <v>0</v>
      </c>
      <c r="BL18" s="899">
        <f>IF(ISNUMBER((I18-AB18+L18)/(F18)),(I18-AB18+L18)/(F18)," - ")</f>
        <v>-0.93462843046561828</v>
      </c>
      <c r="BM18" s="905">
        <f>IF(ISNUMBER((Datos!P18-Datos!Q18)/(Datos!R18-Datos!P18+Datos!Q18)),(Datos!P18-Datos!Q18)/(Datos!R18-Datos!P18+Datos!Q18)," - ")</f>
        <v>0.17041800643086816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11</v>
      </c>
      <c r="F19" s="820">
        <f t="shared" si="6"/>
        <v>3349</v>
      </c>
      <c r="G19" s="820">
        <f t="shared" si="6"/>
        <v>3567</v>
      </c>
      <c r="H19" s="822">
        <f t="shared" si="6"/>
        <v>0</v>
      </c>
      <c r="I19" s="820">
        <f t="shared" si="6"/>
        <v>0</v>
      </c>
      <c r="J19" s="822">
        <f t="shared" si="6"/>
        <v>0</v>
      </c>
      <c r="K19" s="822">
        <f t="shared" si="6"/>
        <v>0</v>
      </c>
      <c r="L19" s="881">
        <f t="shared" si="6"/>
        <v>0</v>
      </c>
      <c r="M19" s="881">
        <f t="shared" si="6"/>
        <v>0</v>
      </c>
      <c r="N19" s="881">
        <f t="shared" si="6"/>
        <v>94</v>
      </c>
      <c r="O19" s="881">
        <f t="shared" si="6"/>
        <v>0</v>
      </c>
      <c r="P19" s="881">
        <f t="shared" si="6"/>
        <v>0</v>
      </c>
      <c r="Q19" s="822">
        <f t="shared" si="6"/>
        <v>604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3073</v>
      </c>
      <c r="AC19" s="821">
        <f t="shared" si="7"/>
        <v>640</v>
      </c>
      <c r="AD19" s="821">
        <f t="shared" si="7"/>
        <v>0</v>
      </c>
      <c r="AE19" s="821">
        <f t="shared" si="7"/>
        <v>0</v>
      </c>
      <c r="AF19" s="828">
        <f t="shared" si="7"/>
        <v>3632</v>
      </c>
      <c r="AG19" s="828">
        <f t="shared" si="7"/>
        <v>0</v>
      </c>
      <c r="AH19" s="828">
        <f t="shared" si="7"/>
        <v>181</v>
      </c>
      <c r="AI19" s="828">
        <f t="shared" si="7"/>
        <v>0</v>
      </c>
      <c r="AJ19" s="821">
        <f t="shared" si="7"/>
        <v>0</v>
      </c>
      <c r="AK19" s="828">
        <f t="shared" si="7"/>
        <v>0</v>
      </c>
      <c r="AL19" s="828">
        <f t="shared" si="7"/>
        <v>0</v>
      </c>
      <c r="AM19" s="828">
        <f t="shared" si="7"/>
        <v>7132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911</v>
      </c>
      <c r="BD19" s="820">
        <f t="shared" si="7"/>
        <v>2282</v>
      </c>
      <c r="BE19" s="820">
        <f t="shared" si="7"/>
        <v>0</v>
      </c>
      <c r="BF19" s="830">
        <f t="shared" si="7"/>
        <v>0</v>
      </c>
      <c r="BG19" s="915">
        <f>IF(ISNUMBER(Datos!K19/Datos!J19),Datos!K19/Datos!J19," - ")</f>
        <v>0.94167337087691072</v>
      </c>
      <c r="BH19" s="915">
        <f>IF(ISNUMBER(((Datos!L19/Datos!K19)*11)/factor_trimestre),((Datos!L19/Datos!K19)*11)/factor_trimestre," - ")</f>
        <v>6.5388722768047849</v>
      </c>
      <c r="BI19" s="813">
        <f>IF(ISNUMBER(Datos!J19/Datos!I19),Datos!J19/Datos!I19," - ")</f>
        <v>0.50590150590150595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-0.91758733950432969</v>
      </c>
      <c r="BM19" s="889">
        <f>IF(ISNUMBER((Datos!P19-Datos!Q19+R19)/(Datos!R19-Datos!P19+Datos!Q19-R19)),(Datos!P19-Datos!Q19+R19)/(Datos!R19-Datos!P19+Datos!Q19-R19)," - ")</f>
        <v>-5.0223214285714289E-3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1189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2.5055493963954847</v>
      </c>
      <c r="F21" s="551">
        <f>IF(ISNUMBER(STDEV(F8:F18)),STDEV(F8:F18),"-")</f>
        <v>1737.1647302429324</v>
      </c>
      <c r="G21" s="552">
        <f>IF(ISNUMBER(STDEV(G8:G18)),STDEV(G8:G18),"-")</f>
        <v>1648.1647975854842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1404.7631354312607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222.29051133274095</v>
      </c>
      <c r="BD21" s="551"/>
      <c r="BE21" s="551">
        <f>IF(ISNUMBER(STDEV(BE8:BE18)),STDEV(BE8:BE18),"-")</f>
        <v>0</v>
      </c>
      <c r="BF21" s="556">
        <f>IF(ISNUMBER(STDEV(BF8:BF18)),STDEV(BF8:BF18),"-")</f>
        <v>0</v>
      </c>
      <c r="BG21" s="775">
        <f>IF(ISNUMBER(STDEV(BG8:BG18)),STDEV(BG8:BG18),"-")</f>
        <v>7.6820284179484888E-2</v>
      </c>
      <c r="BH21" s="776">
        <f>IF(ISNUMBER(STDEV(BH8:BH18)),STDEV(BH8:BH18),"-")</f>
        <v>4.4781655009179664</v>
      </c>
      <c r="BI21" s="249">
        <f>IF(ISNUMBER(STDEV(BI8:BI18)),STDEV(BI8:BI18),"-")</f>
        <v>7.6731280413997668E-2</v>
      </c>
      <c r="BJ21" s="230" t="str">
        <f>IF(ISNUMBER(BL21/BM21),BL21/BM21," - ")</f>
        <v xml:space="preserve"> - </v>
      </c>
      <c r="BK21" s="575"/>
      <c r="BL21" s="559">
        <f>IF(ISNUMBER(STDEV(BL8:BL18)),STDEV(BL8:BL18),"-")</f>
        <v>0.38070771607353487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psovi/+Nwgp49+PUiwmhRm4w4tGUfAhmDh2D34q4IIG2vxn0qOD4ilaVEVLT50Ib/iYnCmW4YizoPSf69Y+AjA==" saltValue="8OxjvMxMEY9siwDS07Cs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ALICANTE-ALACANT  Resumenes por Partidos Judiciales  BENIDORM</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552</v>
      </c>
      <c r="F5" s="1503" t="s">
        <v>406</v>
      </c>
      <c r="G5" s="1492" t="s">
        <v>128</v>
      </c>
      <c r="H5" s="1492" t="s">
        <v>582</v>
      </c>
      <c r="I5" s="1492" t="s">
        <v>553</v>
      </c>
      <c r="J5" s="1492" t="s">
        <v>675</v>
      </c>
      <c r="K5" s="1492" t="s">
        <v>554</v>
      </c>
      <c r="L5" s="1492" t="s">
        <v>580</v>
      </c>
      <c r="M5" s="1492" t="s">
        <v>676</v>
      </c>
      <c r="N5" s="1492" t="s">
        <v>579</v>
      </c>
      <c r="O5" s="1492" t="s">
        <v>606</v>
      </c>
      <c r="P5" s="1498" t="s">
        <v>668</v>
      </c>
      <c r="Q5" s="1498" t="s">
        <v>670</v>
      </c>
      <c r="R5" s="1492" t="s">
        <v>586</v>
      </c>
      <c r="S5" s="1492" t="s">
        <v>555</v>
      </c>
      <c r="T5" s="1492" t="s">
        <v>762</v>
      </c>
      <c r="U5" s="1492" t="s">
        <v>763</v>
      </c>
      <c r="V5" s="1512" t="s">
        <v>659</v>
      </c>
      <c r="W5" s="1509" t="s">
        <v>568</v>
      </c>
      <c r="X5" s="1527" t="s">
        <v>569</v>
      </c>
      <c r="Y5" s="1530" t="s">
        <v>587</v>
      </c>
      <c r="Z5" s="1530" t="s">
        <v>607</v>
      </c>
      <c r="AA5" s="1492" t="s">
        <v>559</v>
      </c>
      <c r="AB5" s="1492" t="s">
        <v>570</v>
      </c>
      <c r="AC5" s="1492" t="s">
        <v>571</v>
      </c>
      <c r="AD5" s="1492" t="s">
        <v>525</v>
      </c>
      <c r="AE5" s="1492" t="s">
        <v>677</v>
      </c>
      <c r="AF5" s="1492" t="s">
        <v>182</v>
      </c>
      <c r="AG5" s="1492" t="s">
        <v>572</v>
      </c>
      <c r="AH5" s="1492" t="s">
        <v>560</v>
      </c>
      <c r="AI5" s="1492" t="s">
        <v>561</v>
      </c>
      <c r="AJ5" s="1492" t="s">
        <v>573</v>
      </c>
      <c r="AK5" s="1492" t="s">
        <v>574</v>
      </c>
      <c r="AL5" s="1492" t="s">
        <v>575</v>
      </c>
      <c r="AM5" s="1524" t="s">
        <v>576</v>
      </c>
      <c r="AN5" s="1492" t="s">
        <v>249</v>
      </c>
      <c r="AO5" s="1492" t="s">
        <v>563</v>
      </c>
      <c r="AP5" s="1492" t="s">
        <v>564</v>
      </c>
      <c r="AQ5" s="1492" t="s">
        <v>588</v>
      </c>
      <c r="AR5" s="1492" t="s">
        <v>589</v>
      </c>
      <c r="AS5" s="1492" t="s">
        <v>591</v>
      </c>
      <c r="AT5" s="1492" t="s">
        <v>584</v>
      </c>
      <c r="AU5" s="1492" t="s">
        <v>830</v>
      </c>
      <c r="AV5" s="1492" t="s">
        <v>333</v>
      </c>
      <c r="AW5" s="1492" t="s">
        <v>577</v>
      </c>
      <c r="AX5" s="1492" t="s">
        <v>530</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590</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437</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523</v>
      </c>
      <c r="AA9" s="332" t="str">
        <f>IF(ISNUMBER(IF(J_V="SI",Datos!L9,Datos!L9+Datos!AB9)-IF(Monitorios="SI",Datos!CD9,0)),
                          IF(J_V="SI",Datos!L9,Datos!L9+Datos!AB9)-IF(Monitorios="SI",Datos!CD9,0),
                          " - ")</f>
        <v xml:space="preserve"> - </v>
      </c>
      <c r="AB9" s="334"/>
      <c r="AC9" s="334"/>
      <c r="AD9" s="484"/>
      <c r="AE9" s="484">
        <f>IF(ISNUMBER(Datos!R9),Datos!R9," - ")</f>
        <v>6697</v>
      </c>
      <c r="AF9" s="229" t="str">
        <f>IF(ISNUMBER(Datos!BV9),Datos!BV9," - ")</f>
        <v xml:space="preserve"> - </v>
      </c>
      <c r="AG9" s="225" t="str">
        <f>IF(ISNUMBER(Datos!DV9),Datos!DV9," - ")</f>
        <v xml:space="preserve"> - </v>
      </c>
      <c r="AH9" s="298"/>
      <c r="AI9" s="227"/>
      <c r="AJ9" s="225">
        <f>IF(ISNUMBER(Datos!M9),Datos!M9," - ")</f>
        <v>431</v>
      </c>
      <c r="AK9" s="229">
        <f>IF(ISNUMBER(Datos!N9),Datos!N9," - ")</f>
        <v>661</v>
      </c>
      <c r="AL9" s="229" t="str">
        <f>IF(ISNUMBER(Datos!BW9),Datos!BW9," - ")</f>
        <v xml:space="preserve"> - </v>
      </c>
      <c r="AM9" s="228" t="str">
        <f>IF(ISNUMBER(Datos!BX9),Datos!BX9," - ")</f>
        <v xml:space="preserve"> - </v>
      </c>
      <c r="AN9" s="243"/>
      <c r="AO9" s="260">
        <f>IF(ISNUMBER(((NºAsuntos!I9/NºAsuntos!G9)*11)/factor_trimestre),((NºAsuntos!I9/NºAsuntos!G9)*11)/factor_trimestre," - ")</f>
        <v>11.91005291005291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-1.267875571281144E-2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106</v>
      </c>
      <c r="G10" s="225">
        <f>IF(ISNUMBER(Datos!I10),Datos!I10," - ")</f>
        <v>106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42</v>
      </c>
      <c r="Z10" s="619">
        <f>IF(ISNUMBER(Datos!Q10),Datos!Q10," - ")</f>
        <v>2</v>
      </c>
      <c r="AA10" s="332">
        <f>IF(ISNUMBER(Datos!L10),Datos!L10,"-")</f>
        <v>106</v>
      </c>
      <c r="AB10" s="334"/>
      <c r="AC10" s="334"/>
      <c r="AD10" s="484"/>
      <c r="AE10" s="484">
        <f>IF(ISNUMBER(Datos!R10),Datos!R10," - ")</f>
        <v>40</v>
      </c>
      <c r="AF10" s="229" t="str">
        <f>IF(ISNUMBER(Datos!BV10),Datos!BV10," - ")</f>
        <v xml:space="preserve"> - </v>
      </c>
      <c r="AG10" s="225" t="str">
        <f>IF(ISNUMBER(Datos!DV10),Datos!DV10," - ")</f>
        <v xml:space="preserve"> - </v>
      </c>
      <c r="AH10" s="298"/>
      <c r="AI10" s="227"/>
      <c r="AJ10" s="225">
        <f>IF(ISNUMBER(Datos!M10),Datos!M10," - ")</f>
        <v>27</v>
      </c>
      <c r="AK10" s="229">
        <f>IF(ISNUMBER(Datos!N10),Datos!N10," - ")</f>
        <v>12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7.5714285714285712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-2.4390243902439025E-2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v>
      </c>
      <c r="AA12" s="332" t="str">
        <f>IF(ISNUMBER(IF(J_V="SI",Datos!L12,Datos!L12+Datos!AB12)-IF(Monitorios="SI",Datos!CD12,0)),
                          IF(J_V="SI",Datos!L12,Datos!L12+Datos!AB12)-IF(Monitorios="SI",Datos!CD12,0),
                          " - ")</f>
        <v xml:space="preserve"> - </v>
      </c>
      <c r="AB12" s="334"/>
      <c r="AC12" s="334"/>
      <c r="AD12" s="484"/>
      <c r="AE12" s="484">
        <f>IF(ISNUMBER(Datos!R12),Datos!R12," - ")</f>
        <v>31</v>
      </c>
      <c r="AF12" s="229" t="str">
        <f>IF(ISNUMBER(Datos!BV12),Datos!BV12," - ")</f>
        <v xml:space="preserve"> - </v>
      </c>
      <c r="AG12" s="225" t="str">
        <f>IF(ISNUMBER(Datos!DV12),Datos!DV12," - ")</f>
        <v xml:space="preserve"> - </v>
      </c>
      <c r="AH12" s="298"/>
      <c r="AI12" s="227"/>
      <c r="AJ12" s="225">
        <f>IF(ISNUMBER(Datos!M12),Datos!M12," - ")</f>
        <v>0</v>
      </c>
      <c r="AK12" s="229">
        <f>IF(ISNUMBER(Datos!N12),Datos!N12," - ")</f>
        <v>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-6.0606060606060608E-2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106</v>
      </c>
      <c r="G13" s="898">
        <f>SUBTOTAL(9,G8:G12)</f>
        <v>106</v>
      </c>
      <c r="H13" s="908"/>
      <c r="I13" s="898">
        <f t="shared" ref="I13:N13" si="0">SUBTOTAL(9,I8:I12)</f>
        <v>0</v>
      </c>
      <c r="J13" s="867">
        <f t="shared" si="0"/>
        <v>0</v>
      </c>
      <c r="K13" s="908">
        <f t="shared" si="0"/>
        <v>0</v>
      </c>
      <c r="L13" s="908">
        <f t="shared" si="0"/>
        <v>0</v>
      </c>
      <c r="M13" s="908">
        <f t="shared" si="0"/>
        <v>0</v>
      </c>
      <c r="N13" s="908">
        <f t="shared" si="0"/>
        <v>438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42</v>
      </c>
      <c r="Z13" s="907">
        <f t="shared" si="2"/>
        <v>527</v>
      </c>
      <c r="AA13" s="900">
        <f t="shared" si="2"/>
        <v>106</v>
      </c>
      <c r="AB13" s="900">
        <f t="shared" si="2"/>
        <v>0</v>
      </c>
      <c r="AC13" s="900">
        <f t="shared" si="2"/>
        <v>0</v>
      </c>
      <c r="AD13" s="900">
        <f t="shared" si="2"/>
        <v>0</v>
      </c>
      <c r="AE13" s="900">
        <f t="shared" si="2"/>
        <v>6768</v>
      </c>
      <c r="AF13" s="908">
        <f t="shared" si="2"/>
        <v>0</v>
      </c>
      <c r="AG13" s="908">
        <f t="shared" si="2"/>
        <v>0</v>
      </c>
      <c r="AH13" s="908">
        <f t="shared" si="2"/>
        <v>0</v>
      </c>
      <c r="AI13" s="908">
        <f t="shared" si="2"/>
        <v>0</v>
      </c>
      <c r="AJ13" s="908">
        <f t="shared" si="2"/>
        <v>458</v>
      </c>
      <c r="AK13" s="908">
        <f t="shared" si="2"/>
        <v>675</v>
      </c>
      <c r="AL13" s="908">
        <f t="shared" si="2"/>
        <v>0</v>
      </c>
      <c r="AM13" s="908">
        <f t="shared" si="2"/>
        <v>0</v>
      </c>
      <c r="AN13" s="908">
        <f t="shared" si="2"/>
        <v>0</v>
      </c>
      <c r="AO13" s="904">
        <f>IF(ISNUMBER(((NºAsuntos!I13/NºAsuntos!G13)*11)/factor_trimestre),((NºAsuntos!I13/NºAsuntos!G13)*11)/factor_trimestre," - ")</f>
        <v>11.793696275071634</v>
      </c>
      <c r="AP13" s="910" t="str">
        <f>IF(ISNUMBER(Datos!CI13/Datos!CJ13),Datos!CI13/Datos!CJ13," - ")</f>
        <v xml:space="preserve"> - </v>
      </c>
      <c r="AQ13" s="928">
        <f t="shared" ref="AQ13:AV13" si="3">SUBTOTAL(9,AQ9:AQ12)</f>
        <v>0</v>
      </c>
      <c r="AR13" s="928">
        <f t="shared" si="3"/>
        <v>-9.7675060221311075E-2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3241</v>
      </c>
      <c r="G15" s="225">
        <f>IF(ISNUMBER(IF(D_I="SI",Datos!I15,Datos!I15+Datos!AC15)),IF(D_I="SI",Datos!I15,Datos!I15+Datos!AC15)," - ")</f>
        <v>3158</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163</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2606</v>
      </c>
      <c r="Z15" s="619">
        <f>IF(ISNUMBER(Datos!Q15),Datos!Q15," - ")</f>
        <v>109</v>
      </c>
      <c r="AA15" s="332">
        <f>IF(ISNUMBER(IF(D_I="SI",Datos!L15,Datos!L15+Datos!AF15)),IF(D_I="SI",Datos!L15,Datos!L15+Datos!AF15)," - ")</f>
        <v>3192</v>
      </c>
      <c r="AB15" s="334"/>
      <c r="AC15" s="334"/>
      <c r="AD15" s="484"/>
      <c r="AE15" s="484">
        <f>IF(ISNUMBER(Datos!R15),Datos!R15," - ")</f>
        <v>359</v>
      </c>
      <c r="AF15" s="229" t="str">
        <f>IF(ISNUMBER(Datos!BV15),Datos!BV15," - ")</f>
        <v xml:space="preserve"> - </v>
      </c>
      <c r="AG15" s="225"/>
      <c r="AH15" s="298"/>
      <c r="AI15" s="227"/>
      <c r="AJ15" s="225">
        <f>IF(ISNUMBER(Datos!M15),Datos!M15," - ")</f>
        <v>395</v>
      </c>
      <c r="AK15" s="229">
        <f>IF(ISNUMBER(Datos!N15),Datos!N15," - ")</f>
        <v>1441</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3.6745970836531083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f>IF(ISNUMBER(AA16+Y16-Datos!J16-K15),AA16+Y16-Datos!J16-K15," - ")</f>
        <v>2</v>
      </c>
      <c r="G16" s="225">
        <f>IF(ISNUMBER(IF(D_I="SI",Datos!I16,Datos!I16+Datos!AC16)),IF(D_I="SI",Datos!I16,Datos!I16+Datos!AC16)," - ")</f>
        <v>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2</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301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425</v>
      </c>
      <c r="Z17" s="619">
        <f>IF(ISNUMBER(Datos!Q17),Datos!Q17," - ")</f>
        <v>4</v>
      </c>
      <c r="AA17" s="332">
        <f>IF(ISNUMBER(Datos!L17),Datos!L17,"-")</f>
        <v>332</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58</v>
      </c>
      <c r="AK17" s="229">
        <f>IF(ISNUMBER(Datos!N17),Datos!N17," - ")</f>
        <v>166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2.3435294117647056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3243</v>
      </c>
      <c r="G18" s="898">
        <f>SUBTOTAL(9,G15:G17)</f>
        <v>3461</v>
      </c>
      <c r="H18" s="932">
        <f>SUBTOTAL(9,H15:H17)</f>
        <v>0</v>
      </c>
      <c r="I18" s="911">
        <f>SUBTOTAL(9,I15:I17)</f>
        <v>0</v>
      </c>
      <c r="J18" s="867">
        <f>SUBTOTAL(9,J14:J17)</f>
        <v>0</v>
      </c>
      <c r="K18" s="932">
        <f t="shared" ref="K18:S18" si="4">SUBTOTAL(9,K15:K17)</f>
        <v>0</v>
      </c>
      <c r="L18" s="932">
        <f t="shared" si="4"/>
        <v>0</v>
      </c>
      <c r="M18" s="932">
        <f t="shared" si="4"/>
        <v>0</v>
      </c>
      <c r="N18" s="932">
        <f t="shared" si="4"/>
        <v>166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3031</v>
      </c>
      <c r="Z18" s="932">
        <f t="shared" si="5"/>
        <v>113</v>
      </c>
      <c r="AA18" s="932">
        <f t="shared" si="5"/>
        <v>3526</v>
      </c>
      <c r="AB18" s="932">
        <f t="shared" si="5"/>
        <v>0</v>
      </c>
      <c r="AC18" s="932">
        <f t="shared" si="5"/>
        <v>0</v>
      </c>
      <c r="AD18" s="932">
        <f t="shared" si="5"/>
        <v>0</v>
      </c>
      <c r="AE18" s="932">
        <f t="shared" si="5"/>
        <v>364</v>
      </c>
      <c r="AF18" s="932">
        <f t="shared" si="5"/>
        <v>0</v>
      </c>
      <c r="AG18" s="932">
        <f t="shared" si="5"/>
        <v>0</v>
      </c>
      <c r="AH18" s="932">
        <f t="shared" si="5"/>
        <v>0</v>
      </c>
      <c r="AI18" s="932">
        <f t="shared" si="5"/>
        <v>0</v>
      </c>
      <c r="AJ18" s="932">
        <f t="shared" si="5"/>
        <v>453</v>
      </c>
      <c r="AK18" s="932">
        <f t="shared" si="5"/>
        <v>1607</v>
      </c>
      <c r="AL18" s="932">
        <f t="shared" si="5"/>
        <v>0</v>
      </c>
      <c r="AM18" s="932">
        <f t="shared" si="5"/>
        <v>0</v>
      </c>
      <c r="AN18" s="932">
        <f t="shared" si="5"/>
        <v>0</v>
      </c>
      <c r="AO18" s="934">
        <f>IF(ISNUMBER(((NºAsuntos!I18/NºAsuntos!G18)*11)/factor_trimestre),((NºAsuntos!I18/NºAsuntos!G18)*11)/factor_trimestre," - ")</f>
        <v>3.4899373144176842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3349</v>
      </c>
      <c r="G19" s="820">
        <f t="shared" si="7"/>
        <v>3567</v>
      </c>
      <c r="H19" s="821">
        <f t="shared" si="7"/>
        <v>0</v>
      </c>
      <c r="I19" s="820">
        <f t="shared" si="7"/>
        <v>0</v>
      </c>
      <c r="J19" s="822">
        <f t="shared" si="7"/>
        <v>0</v>
      </c>
      <c r="K19" s="820">
        <f t="shared" si="7"/>
        <v>0</v>
      </c>
      <c r="L19" s="823">
        <f t="shared" si="7"/>
        <v>0</v>
      </c>
      <c r="M19" s="820">
        <f t="shared" si="7"/>
        <v>0</v>
      </c>
      <c r="N19" s="821">
        <f t="shared" si="7"/>
        <v>604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3073</v>
      </c>
      <c r="Z19" s="827">
        <f t="shared" si="8"/>
        <v>640</v>
      </c>
      <c r="AA19" s="828">
        <f t="shared" si="8"/>
        <v>3632</v>
      </c>
      <c r="AB19" s="828">
        <f t="shared" si="8"/>
        <v>0</v>
      </c>
      <c r="AC19" s="828">
        <f t="shared" si="8"/>
        <v>0</v>
      </c>
      <c r="AD19" s="829">
        <f t="shared" si="8"/>
        <v>0</v>
      </c>
      <c r="AE19" s="829">
        <f t="shared" si="8"/>
        <v>7132</v>
      </c>
      <c r="AF19" s="830">
        <f t="shared" si="8"/>
        <v>0</v>
      </c>
      <c r="AG19" s="831">
        <f t="shared" si="8"/>
        <v>0</v>
      </c>
      <c r="AH19" s="832">
        <f t="shared" si="8"/>
        <v>0</v>
      </c>
      <c r="AI19" s="830">
        <f t="shared" si="8"/>
        <v>0</v>
      </c>
      <c r="AJ19" s="820">
        <f t="shared" si="8"/>
        <v>911</v>
      </c>
      <c r="AK19" s="820">
        <f t="shared" si="8"/>
        <v>2282</v>
      </c>
      <c r="AL19" s="820">
        <f t="shared" si="8"/>
        <v>0</v>
      </c>
      <c r="AM19" s="833">
        <f t="shared" si="8"/>
        <v>0</v>
      </c>
      <c r="AN19" s="823">
        <f>IF(ISNUMBER(Datos!K19/Datos!J19),Datos!K19/Datos!J19," - ")</f>
        <v>0.94167337087691072</v>
      </c>
      <c r="AO19" s="823">
        <f>IF(ISNUMBER(FIND("06",Criterios!A8,1)),(IF(ISNUMBER(((Datos!R19/Datos!Q19)*11)/factor_trimestre),((Datos!R19/Datos!Q19)*11)/factor_trimestre," - ")),(IF(ISNUMBER(((Datos!L19/Datos!K19)*11)/factor_trimestre),((Datos!L19/Datos!K19)*11)/factor_trimestre," - ")))</f>
        <v>6.5388722768047849</v>
      </c>
      <c r="AP19" s="834" t="str">
        <f>IF(ISNUMBER(Datos!CI19/Datos!CJ19),Datos!CI19/Datos!CJ19," - ")</f>
        <v xml:space="preserve"> - </v>
      </c>
      <c r="AQ19" s="834">
        <f>IF(OR(ISNUMBER(FIND("01",Criterios!A8,1)),ISNUMBER(FIND("02",Criterios!A8,1)),ISNUMBER(FIND("03",Criterios!A8,1)),ISNUMBER(FIND("04",Criterios!A8,1))),(J19-Y19+K19)/(F19-K19),(I19-Y19+K19)/(F19-K19))</f>
        <v>-0.91758733950432969</v>
      </c>
      <c r="AR19" s="834">
        <f>IF(ISNUMBER((Datos!P19-Datos!Q19+O19)/(Datos!R19-Datos!P19+Datos!Q19-O19)),(Datos!P19-Datos!Q19+O19)/(Datos!R19-Datos!P19+Datos!Q19-O19)," - ")</f>
        <v>-5.0223214285714289E-3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1189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1737.1647302429324</v>
      </c>
      <c r="G21" s="552">
        <f>IF(ISNUMBER(STDEV(G8:G18)),STDEV(G8:G18),"-")</f>
        <v>1648.1647975854842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222.29051133274095</v>
      </c>
      <c r="AK21" s="252"/>
      <c r="AL21" s="252">
        <f>IF(ISNUMBER(STDEV(AL8:AL18)),STDEV(AL8:AL18),"-")</f>
        <v>0</v>
      </c>
      <c r="AM21" s="254">
        <f>IF(ISNUMBER(STDEV(AM8:AM18)),STDEV(AM8:AM18),"-")</f>
        <v>0</v>
      </c>
      <c r="AN21" s="539">
        <f>IF(ISNUMBER(STDEV(AN8:AN18)),STDEV(AN8:AN18),"-")</f>
        <v>0</v>
      </c>
      <c r="AO21" s="540">
        <f>IF(ISNUMBER(STDEV(AO8:AO18)),STDEV(AO8:AO18),"-")</f>
        <v>4.4022959810312683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IUP/IuVCu2I3BqvaASQ3Rhe11Nzd5Phu89Vo4sUKSmancg2LE7SkP2mgBUdx4JNSWQAUSFtSow2HJx7occR7Uw==" saltValue="dDszgsF/P6po0enpfnJP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621</v>
      </c>
      <c r="B4" s="1543" t="s">
        <v>725</v>
      </c>
      <c r="C4" s="1543" t="s">
        <v>622</v>
      </c>
      <c r="D4" s="1543" t="s">
        <v>683</v>
      </c>
      <c r="E4" s="1545" t="s">
        <v>684</v>
      </c>
      <c r="F4" s="1543" t="s">
        <v>623</v>
      </c>
      <c r="G4" s="1545" t="s">
        <v>452</v>
      </c>
      <c r="H4" s="1538" t="s">
        <v>624</v>
      </c>
      <c r="I4" s="1538" t="s">
        <v>625</v>
      </c>
      <c r="J4" s="1538" t="s">
        <v>626</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2K8+7QzxR4R8FcwtdCvwzb2oHIKQyrvo25KY5NlnmGqwQ++eXQ2xB2HqB0LdllUNRfyGXmoJZ1s0cPPTmBGS0A==" saltValue="eQOYTNQ2x+z8sAZYuqp7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473</v>
      </c>
      <c r="DL5" s="1369" t="s">
        <v>477</v>
      </c>
      <c r="DM5" s="1461" t="s">
        <v>522</v>
      </c>
      <c r="DN5" s="1461" t="s">
        <v>523</v>
      </c>
      <c r="DO5" s="1461" t="s">
        <v>524</v>
      </c>
      <c r="DP5" s="1461" t="s">
        <v>525</v>
      </c>
      <c r="DQ5" s="1461" t="s">
        <v>526</v>
      </c>
      <c r="DR5" s="1461" t="s">
        <v>527</v>
      </c>
      <c r="DS5" s="1461" t="s">
        <v>528</v>
      </c>
      <c r="DT5" s="1461" t="s">
        <v>529</v>
      </c>
      <c r="DU5" s="1462" t="s">
        <v>530</v>
      </c>
      <c r="DV5" s="1462" t="s">
        <v>531</v>
      </c>
      <c r="DW5" s="1471" t="s">
        <v>532</v>
      </c>
      <c r="DX5" s="1461" t="s">
        <v>533</v>
      </c>
      <c r="DY5" s="1468" t="s">
        <v>534</v>
      </c>
      <c r="DZ5" s="1471" t="s">
        <v>535</v>
      </c>
      <c r="EA5" s="1468" t="s">
        <v>536</v>
      </c>
      <c r="EB5" s="1465" t="s">
        <v>580</v>
      </c>
      <c r="EC5" s="1465" t="s">
        <v>581</v>
      </c>
      <c r="ED5" s="1465" t="s">
        <v>582</v>
      </c>
      <c r="EE5" s="1465" t="s">
        <v>615</v>
      </c>
      <c r="EF5" s="1465" t="s">
        <v>619</v>
      </c>
      <c r="EG5" s="1468" t="s">
        <v>617</v>
      </c>
      <c r="EH5" s="1468" t="s">
        <v>618</v>
      </c>
      <c r="EI5" s="1468" t="s">
        <v>584</v>
      </c>
      <c r="EJ5" s="1468" t="s">
        <v>585</v>
      </c>
      <c r="EK5" s="1477" t="s">
        <v>662</v>
      </c>
      <c r="EL5" s="1480" t="s">
        <v>678</v>
      </c>
      <c r="EM5" s="1481"/>
      <c r="EN5" s="1482"/>
      <c r="EO5" s="1381" t="s">
        <v>735</v>
      </c>
      <c r="EP5" s="1381" t="s">
        <v>737</v>
      </c>
      <c r="EQ5" s="1381" t="s">
        <v>738</v>
      </c>
      <c r="ER5" s="1381" t="s">
        <v>746</v>
      </c>
      <c r="ES5" s="1381" t="s">
        <v>748</v>
      </c>
      <c r="ET5" s="1474" t="s">
        <v>812</v>
      </c>
      <c r="EU5" s="1474" t="s">
        <v>813</v>
      </c>
      <c r="EV5" s="1378" t="s">
        <v>829</v>
      </c>
      <c r="EW5" s="1378" t="s">
        <v>834</v>
      </c>
      <c r="EX5" s="1375" t="s">
        <v>846</v>
      </c>
      <c r="EY5" s="1363" t="s">
        <v>851</v>
      </c>
      <c r="EZ5" s="1360" t="s">
        <v>901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734</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679</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c r="EZ8" s="470" t="s">
        <v>900</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sFx21DonycTgCFBTC6HWYBD9ZA7C3MbjctnblgvIVYOP972Zfrx4y17F0TeAXlSiO3nzacIC0dA0Ol63MEDYg==" saltValue="LXyKhNY0+oYx8a73FGHwL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ALICANTE-ALACANT  Resumenes por Partidos Judiciales  BENIDORM</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552</v>
      </c>
      <c r="F5" s="1503" t="s">
        <v>406</v>
      </c>
      <c r="G5" s="1492" t="s">
        <v>128</v>
      </c>
      <c r="H5" s="1492" t="s">
        <v>582</v>
      </c>
      <c r="I5" s="1492" t="s">
        <v>553</v>
      </c>
      <c r="J5" s="1492" t="s">
        <v>656</v>
      </c>
      <c r="K5" s="1492" t="s">
        <v>554</v>
      </c>
      <c r="L5" s="1492" t="s">
        <v>522</v>
      </c>
      <c r="M5" s="1495" t="s">
        <v>580</v>
      </c>
      <c r="N5" s="1492" t="s">
        <v>711</v>
      </c>
      <c r="O5" s="1492" t="s">
        <v>671</v>
      </c>
      <c r="P5" s="1492" t="s">
        <v>168</v>
      </c>
      <c r="Q5" s="1498" t="s">
        <v>668</v>
      </c>
      <c r="R5" s="1498" t="s">
        <v>712</v>
      </c>
      <c r="S5" s="1492" t="s">
        <v>583</v>
      </c>
      <c r="T5" s="1498" t="s">
        <v>555</v>
      </c>
      <c r="U5" s="1498" t="s">
        <v>762</v>
      </c>
      <c r="V5" s="1498" t="s">
        <v>763</v>
      </c>
      <c r="W5" s="1509" t="s">
        <v>605</v>
      </c>
      <c r="X5" s="1527" t="s">
        <v>556</v>
      </c>
      <c r="Y5" s="1509" t="s">
        <v>557</v>
      </c>
      <c r="Z5" s="1509" t="s">
        <v>558</v>
      </c>
      <c r="AA5" s="1492" t="s">
        <v>672</v>
      </c>
      <c r="AB5" s="1492" t="s">
        <v>677</v>
      </c>
      <c r="AC5" s="1492" t="s">
        <v>182</v>
      </c>
      <c r="AD5" s="1515" t="s">
        <v>180</v>
      </c>
      <c r="AE5" s="1492" t="s">
        <v>673</v>
      </c>
      <c r="AF5" s="1518" t="s">
        <v>674</v>
      </c>
      <c r="AG5" s="1521" t="s">
        <v>531</v>
      </c>
      <c r="AH5" s="1492" t="s">
        <v>532</v>
      </c>
      <c r="AI5" s="1492" t="s">
        <v>603</v>
      </c>
      <c r="AJ5" s="1524" t="s">
        <v>604</v>
      </c>
      <c r="AK5" s="1521" t="s">
        <v>183</v>
      </c>
      <c r="AL5" s="1492" t="s">
        <v>562</v>
      </c>
      <c r="AM5" s="1492" t="s">
        <v>247</v>
      </c>
      <c r="AN5" s="1492" t="s">
        <v>248</v>
      </c>
      <c r="AO5" s="1492" t="s">
        <v>249</v>
      </c>
      <c r="AP5" s="1492" t="s">
        <v>563</v>
      </c>
      <c r="AQ5" s="1492" t="s">
        <v>250</v>
      </c>
      <c r="AR5" s="1492" t="s">
        <v>564</v>
      </c>
      <c r="AS5" s="1492" t="s">
        <v>565</v>
      </c>
      <c r="AT5" s="1492" t="s">
        <v>566</v>
      </c>
      <c r="AU5" s="1492" t="s">
        <v>591</v>
      </c>
      <c r="AV5" s="1492" t="s">
        <v>584</v>
      </c>
      <c r="AW5" s="1492" t="s">
        <v>830</v>
      </c>
      <c r="AX5" s="1492" t="s">
        <v>833</v>
      </c>
      <c r="AY5" s="1492" t="s">
        <v>835</v>
      </c>
      <c r="AZ5" s="1492" t="s">
        <v>585</v>
      </c>
      <c r="BA5" s="1492" t="s">
        <v>851</v>
      </c>
      <c r="BB5" s="1492" t="s">
        <v>567</v>
      </c>
      <c r="BC5" s="1492" t="s">
        <v>530</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0.26246418338108884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0.18559020388735747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fGjBpFUMOsB3othpm1DFhaaMx8+T5gxPmMF1jTstUo9oD1pndiKkDEn/iTXC/jHovxpJw6Cobwh2Tcswq7lfBA==" saltValue="v6TtiG8q8ZF4SEOW8uHV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6hGHZXO0GxDIoEG7F1cW9lw8jLEIuqxbYCrxiYrslwxCIsvxCflIw+3cZ7j5EIt2m280EwHVFtnRY5sd7UsmYw==" saltValue="HlxcqCLezbcy+oK5D+IQ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ALICANTE-ALACANT</v>
      </c>
      <c r="D3" s="375"/>
      <c r="E3" s="375"/>
      <c r="F3" s="375"/>
      <c r="BQ3" s="471"/>
    </row>
    <row r="4" spans="1:69" ht="13.5" thickBot="1">
      <c r="A4" s="375"/>
      <c r="B4" s="391" t="str">
        <f>Criterios!A11 &amp;"  "&amp;Criterios!B11</f>
        <v>Resumenes por Partidos Judiciales  BENIDORM</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740</v>
      </c>
      <c r="L5" s="1191" t="s">
        <v>786</v>
      </c>
      <c r="M5" s="1191" t="s">
        <v>847</v>
      </c>
      <c r="N5" s="1194" t="s">
        <v>739</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734</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6441</v>
      </c>
      <c r="D9" s="404">
        <f>IF(ISNUMBER(C9/Datos!BH9),C9/Datos!BH9," - ")</f>
        <v>1288.2</v>
      </c>
      <c r="E9" s="403">
        <f>IF(ISNUMBER(IF(J_V="SI",Datos!J9,Datos!J9+Datos!Z9)),IF(J_V="SI",Datos!J9,Datos!J9+Datos!Z9)," - ")</f>
        <v>2009</v>
      </c>
      <c r="F9" s="404">
        <f>IF(ISNUMBER(E9/B9),E9/B9," - ")</f>
        <v>401.8</v>
      </c>
      <c r="G9" s="403">
        <f>IF(ISNUMBER(IF(J_V="SI",Datos!K9,Datos!K9+Datos!AA9)),IF(J_V="SI",Datos!K9,Datos!K9+Datos!AA9)," - ")</f>
        <v>1701</v>
      </c>
      <c r="H9" s="404">
        <f>IF(ISNUMBER(G9/B9),G9/B9," - ")</f>
        <v>340.2</v>
      </c>
      <c r="I9" s="403">
        <f>IF(ISNUMBER(IF(J_V="SI",Datos!L9,Datos!L9+Datos!AB9)),IF(J_V="SI",Datos!L9,Datos!L9+Datos!AB9)," - ")</f>
        <v>6753</v>
      </c>
      <c r="J9" s="404">
        <f>IF(ISNUMBER(I9/B9),I9/B9," - ")</f>
        <v>1350.6</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106</v>
      </c>
      <c r="D10" s="404">
        <f>IF(ISNUMBER(C10/Datos!BH10),C10/Datos!BH10," - ")</f>
        <v>106</v>
      </c>
      <c r="E10" s="403">
        <f>IF(ISNUMBER(Datos!J10),Datos!J10," - ")</f>
        <v>42</v>
      </c>
      <c r="F10" s="404">
        <f>IF(ISNUMBER(E10/B10),E10/B10," - ")</f>
        <v>42</v>
      </c>
      <c r="G10" s="403">
        <f>IF(ISNUMBER(Datos!K10),Datos!K10," - ")</f>
        <v>42</v>
      </c>
      <c r="H10" s="404">
        <f>IF(ISNUMBER(G10/B10),G10/B10," - ")</f>
        <v>42</v>
      </c>
      <c r="I10" s="403">
        <f>IF(ISNUMBER(Datos!L10),Datos!L10," - ")</f>
        <v>106</v>
      </c>
      <c r="J10" s="404">
        <f>IF(ISNUMBER(I10/B10),I10/B10," - ")</f>
        <v>106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f>IF(ISNUMBER(IF(J_V="SI",Datos!I12,Datos!I12+Datos!Y12)),IF(J_V="SI",Datos!I12,Datos!I12+Datos!Y12)," - ")</f>
        <v>1</v>
      </c>
      <c r="D12" s="404" t="str">
        <f>IF(ISNUMBER(C12/Datos!BH12),C12/Datos!BH12," - ")</f>
        <v xml:space="preserve"> - </v>
      </c>
      <c r="E12" s="403">
        <f>IF(ISNUMBER(IF(J_V="SI",Datos!J12,Datos!J12+Datos!Z12)),IF(J_V="SI",Datos!J12,Datos!J12+Datos!Z12)," - ")</f>
        <v>2</v>
      </c>
      <c r="F12" s="404" t="str">
        <f>IF(ISNUMBER(E12/B12),E12/B12," - ")</f>
        <v xml:space="preserve"> - </v>
      </c>
      <c r="G12" s="403">
        <f>IF(ISNUMBER(IF(J_V="SI",Datos!K12,Datos!K12+Datos!AA12)),IF(J_V="SI",Datos!K12,Datos!K12+Datos!AA12)," - ")</f>
        <v>2</v>
      </c>
      <c r="H12" s="404" t="str">
        <f>IF(ISNUMBER(G12/B12),G12/B12," - ")</f>
        <v xml:space="preserve"> - </v>
      </c>
      <c r="I12" s="403">
        <f>IF(ISNUMBER(IF(J_V="SI",Datos!L12,Datos!L12+Datos!AB12)),IF(J_V="SI",Datos!L12,Datos!L12+Datos!AB12)," - ")</f>
        <v>1</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6548</v>
      </c>
      <c r="D13" s="850" t="str">
        <f>IF(ISNUMBER(C13/Datos!BI13),C13/Datos!BI13," - ")</f>
        <v xml:space="preserve"> - </v>
      </c>
      <c r="E13" s="849">
        <f>SUBTOTAL(9,E8:E12)</f>
        <v>2053</v>
      </c>
      <c r="F13" s="850">
        <f>IF(ISNUMBER(E13/B13),E13/B13," - ")</f>
        <v>342.16666666666669</v>
      </c>
      <c r="G13" s="849">
        <f>SUBTOTAL(9,G8:G12)</f>
        <v>1745</v>
      </c>
      <c r="H13" s="850">
        <f>IF(ISNUMBER(G13/B13),G13/B13," - ")</f>
        <v>290.83333333333331</v>
      </c>
      <c r="I13" s="849">
        <f>SUBTOTAL(9,I8:I12)</f>
        <v>6860</v>
      </c>
      <c r="J13" s="850">
        <f>IF(ISNUMBER(I13/B13),I13/B13," - ")</f>
        <v>1143.3333333333333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3158</v>
      </c>
      <c r="D15" s="404">
        <f>IF(ISNUMBER(C15/Datos!BH15),C15/Datos!BH15," - ")</f>
        <v>789.5</v>
      </c>
      <c r="E15" s="403">
        <f>IF(ISNUMBER(IF(D_I="SI",Datos!J15,Datos!J15+Datos!AD15)),IF(D_I="SI",Datos!J15,Datos!J15+Datos!AD15)," - ")</f>
        <v>2557</v>
      </c>
      <c r="F15" s="404">
        <f>IF(ISNUMBER(E15/B15),E15/B15," - ")</f>
        <v>639.25</v>
      </c>
      <c r="G15" s="403">
        <f>IF(ISNUMBER(IF(D_I="SI",Datos!K15,Datos!K15+Datos!AE15)),IF(D_I="SI",Datos!K15,Datos!K15+Datos!AE15)," - ")</f>
        <v>2606</v>
      </c>
      <c r="H15" s="404">
        <f>IF(ISNUMBER(G15/B15),G15/B15," - ")</f>
        <v>651.5</v>
      </c>
      <c r="I15" s="403">
        <f>IF(ISNUMBER(IF(D_I="SI",Datos!L15,Datos!L15+Datos!AF15)),IF(D_I="SI",Datos!L15,Datos!L15+Datos!AF15)," - ")</f>
        <v>3192</v>
      </c>
      <c r="J15" s="404">
        <f>IF(ISNUMBER(I15/B15),I15/B15," - ")</f>
        <v>798</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f>IF(ISNUMBER(IF(D_I="SI",Datos!I16,Datos!I16+Datos!AC16)),IF(D_I="SI",Datos!I16,Datos!I16+Datos!AC16)," - ")</f>
        <v>2</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2</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301</v>
      </c>
      <c r="D17" s="404">
        <f>IF(ISNUMBER(C17/Datos!BH17),C17/Datos!BH17," - ")</f>
        <v>301</v>
      </c>
      <c r="E17" s="403">
        <f>IF(ISNUMBER(IF(D_I="SI",Datos!J17,Datos!J17+Datos!AD17)),IF(D_I="SI",Datos!J17,Datos!J17+Datos!AD17)," - ")</f>
        <v>456</v>
      </c>
      <c r="F17" s="404">
        <f>IF(ISNUMBER(E17/B17),E17/B17," - ")</f>
        <v>456</v>
      </c>
      <c r="G17" s="403">
        <f>IF(ISNUMBER(IF(D_I="SI",Datos!K17,Datos!K17+Datos!AE17)),IF(D_I="SI",Datos!K17,Datos!K17+Datos!AE17)," - ")</f>
        <v>425</v>
      </c>
      <c r="H17" s="404">
        <f>IF(ISNUMBER(G17/B17),G17/B17," - ")</f>
        <v>425</v>
      </c>
      <c r="I17" s="403">
        <f>IF(ISNUMBER(IF(D_I="SI",Datos!L17,Datos!L17+Datos!AF17)),IF(D_I="SI",Datos!L17,Datos!L17+Datos!AF17)," - ")</f>
        <v>332</v>
      </c>
      <c r="J17" s="404">
        <f>IF(ISNUMBER(I17/B17),I17/B17," - ")</f>
        <v>332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3461</v>
      </c>
      <c r="D18" s="850" t="str">
        <f>IF(ISNUMBER(C18/Datos!BI18),C18/Datos!BI18," - ")</f>
        <v xml:space="preserve"> - </v>
      </c>
      <c r="E18" s="849">
        <f>SUBTOTAL(9,E14:E17)</f>
        <v>3013</v>
      </c>
      <c r="F18" s="850">
        <f>IF(ISNUMBER(E18/B18),E18/B18," - ")</f>
        <v>602.6</v>
      </c>
      <c r="G18" s="849">
        <f>SUBTOTAL(9,G14:G17)</f>
        <v>3031</v>
      </c>
      <c r="H18" s="850">
        <f>IF(ISNUMBER(G18/B18),G18/B18," - ")</f>
        <v>606.20000000000005</v>
      </c>
      <c r="I18" s="849">
        <f>SUBTOTAL(9,I14:I17)</f>
        <v>3526</v>
      </c>
      <c r="J18" s="850">
        <f>IF(ISNUMBER(I18/B18),I18/B18," - ")</f>
        <v>705.2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10009</v>
      </c>
      <c r="D19" s="795" t="str">
        <f>IF(ISNUMBER(C19/Datos!BI19),C19/Datos!BI19," - ")</f>
        <v xml:space="preserve"> - </v>
      </c>
      <c r="E19" s="794">
        <f>SUBTOTAL(9,E9:E18)</f>
        <v>5066</v>
      </c>
      <c r="F19" s="795">
        <f>IF(ISNUMBER(E19/B19),E19/B19," - ")</f>
        <v>506.6</v>
      </c>
      <c r="G19" s="794">
        <f>SUBTOTAL(9,G9:G18)</f>
        <v>4776</v>
      </c>
      <c r="H19" s="795">
        <f>IF(ISNUMBER(G19/B19),G19/B19," - ")</f>
        <v>477.6</v>
      </c>
      <c r="I19" s="794">
        <f>SUBTOTAL(9,I9:I18)</f>
        <v>10386</v>
      </c>
      <c r="J19" s="795">
        <f>IF(ISNUMBER(I19/B19),I19/B19," - ")</f>
        <v>1038.5999999999999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tKiVnAp7qnFzqEs5wrKkWgV56rBst4tHrkF/GzzVLyszJd6vHO+FMfOdvKEtrKnwtLnTfOPGVMM44F+ocHLHbg==" saltValue="rckjxm24NOWA6NpobOla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ALICANTE-ALACANT  Resumenes por Partidos Judiciales  BENIDORM</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552</v>
      </c>
      <c r="F5" s="1503" t="s">
        <v>406</v>
      </c>
      <c r="G5" s="1492" t="s">
        <v>128</v>
      </c>
      <c r="H5" s="1492" t="s">
        <v>685</v>
      </c>
      <c r="I5" s="1492" t="s">
        <v>686</v>
      </c>
      <c r="J5" s="1492" t="s">
        <v>689</v>
      </c>
      <c r="K5" s="1492" t="s">
        <v>690</v>
      </c>
      <c r="L5" s="1492" t="s">
        <v>580</v>
      </c>
      <c r="M5" s="1492" t="s">
        <v>711</v>
      </c>
      <c r="N5" s="1492" t="s">
        <v>691</v>
      </c>
      <c r="O5" s="1492" t="s">
        <v>687</v>
      </c>
      <c r="P5" s="1492" t="s">
        <v>168</v>
      </c>
      <c r="Q5" s="1492" t="s">
        <v>668</v>
      </c>
      <c r="R5" s="1492" t="s">
        <v>712</v>
      </c>
      <c r="S5" s="1492" t="str">
        <f>"Ingreso Computable 2003" &amp; IF(OR(EXACT(LEFT(boletin,2),"04"),EXACT(LEFT(boletin,2),"14"),EXACT(LEFT(boletin,2),"17"))," (Civil + Penal)","")</f>
        <v>Ingreso Computable 2003</v>
      </c>
      <c r="T5" s="1492" t="s">
        <v>688</v>
      </c>
      <c r="U5" s="1498" t="str">
        <f>"% Ingreso Computable 2003" &amp; IF(OR(EXACT(LEFT(boletin,2),"04"),EXACT(LEFT(boletin,2),"14"),EXACT(LEFT(boletin,2),"17"))," (Civil + Penal)","")</f>
        <v>% Ingreso Computable 2003</v>
      </c>
      <c r="V5" s="1498" t="s">
        <v>692</v>
      </c>
      <c r="W5" s="1492" t="s">
        <v>756</v>
      </c>
      <c r="X5" s="1492" t="s">
        <v>757</v>
      </c>
      <c r="Y5" s="1512"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2" t="s">
        <v>697</v>
      </c>
      <c r="AG5" s="1492" t="s">
        <v>698</v>
      </c>
      <c r="AH5" s="1492" t="s">
        <v>699</v>
      </c>
      <c r="AI5" s="1492" t="s">
        <v>700</v>
      </c>
      <c r="AJ5" s="1492" t="s">
        <v>182</v>
      </c>
      <c r="AK5" s="1521" t="s">
        <v>531</v>
      </c>
      <c r="AL5" s="1521" t="s">
        <v>183</v>
      </c>
      <c r="AM5" s="1492" t="s">
        <v>562</v>
      </c>
      <c r="AN5" s="1492" t="s">
        <v>247</v>
      </c>
      <c r="AO5" s="1492" t="s">
        <v>248</v>
      </c>
      <c r="AP5" s="1492" t="s">
        <v>701</v>
      </c>
      <c r="AQ5" s="1492" t="s">
        <v>702</v>
      </c>
      <c r="AR5" s="1492" t="s">
        <v>703</v>
      </c>
      <c r="AS5" s="1492" t="s">
        <v>704</v>
      </c>
      <c r="AT5" s="1492" t="s">
        <v>705</v>
      </c>
      <c r="AU5" s="1492" t="s">
        <v>706</v>
      </c>
      <c r="AV5" s="1492" t="s">
        <v>707</v>
      </c>
      <c r="AW5" s="1492" t="s">
        <v>708</v>
      </c>
      <c r="AX5" s="1492" t="s">
        <v>830</v>
      </c>
      <c r="AY5" s="1492" t="s">
        <v>833</v>
      </c>
      <c r="AZ5" s="1492" t="s">
        <v>709</v>
      </c>
      <c r="BA5" s="1492" t="s">
        <v>710</v>
      </c>
      <c r="BB5" s="1492" t="s">
        <v>530</v>
      </c>
      <c r="BC5" s="1325" t="s">
        <v>717</v>
      </c>
      <c r="BD5" s="1325" t="s">
        <v>718</v>
      </c>
      <c r="BE5" s="1503" t="s">
        <v>719</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106</v>
      </c>
      <c r="G10" s="684">
        <f>IF(ISNUMBER(Datos!I10),Datos!I10," - ")</f>
        <v>106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42</v>
      </c>
      <c r="AC10" s="683" t="str">
        <f>IF(ISNUMBER(IF(D_I="SI",DatosP!K17,DatosP!K17+DatosP!AE17)),IF(D_I="SI",DatosP!K17,DatosP!K17+DatosP!AE17)," - ")</f>
        <v xml:space="preserve"> - </v>
      </c>
      <c r="AD10" s="685"/>
      <c r="AE10" s="685"/>
      <c r="AF10" s="688">
        <f>IF(ISNUMBER(Datos!L10),Datos!L10,"-")</f>
        <v>106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27</v>
      </c>
      <c r="AM10" s="690">
        <f>IF(ISNUMBER(Datos!N10+DatosP!N17),Datos!N10+DatosP!N17," - ")</f>
        <v>12</v>
      </c>
      <c r="AN10" s="690">
        <f>IF(ISNUMBER(Datos!BW10+DatosP!BW17),Datos!BW10+DatosP!BW17," - ")</f>
        <v>0</v>
      </c>
      <c r="AO10" s="691">
        <f>IF(ISNUMBER(Datos!BX10+DatosP!BX17),Datos!BX10+DatosP!BX17," - ")</f>
        <v>0</v>
      </c>
      <c r="AP10" s="693">
        <f>IF(ISNUMBER(((Datos!L10/Datos!K10)*11)/factor_trimestre),((Datos!L10/Datos!K10)*11)/factor_trimestre," - ")</f>
        <v>7.5714285714285712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-6.0606060606060608E-2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106</v>
      </c>
      <c r="G13" s="938">
        <f t="shared" si="0"/>
        <v>106</v>
      </c>
      <c r="H13" s="938">
        <f t="shared" si="0"/>
        <v>0</v>
      </c>
      <c r="I13" s="940">
        <f t="shared" si="0"/>
        <v>0</v>
      </c>
      <c r="J13" s="939">
        <f t="shared" si="0"/>
        <v>0</v>
      </c>
      <c r="K13" s="939">
        <f t="shared" si="0"/>
        <v>0</v>
      </c>
      <c r="L13" s="941">
        <f t="shared" si="0"/>
        <v>0</v>
      </c>
      <c r="M13" s="941">
        <f t="shared" si="0"/>
        <v>0</v>
      </c>
      <c r="N13" s="939">
        <f t="shared" si="0"/>
        <v>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42</v>
      </c>
      <c r="AC13" s="939">
        <f t="shared" si="1"/>
        <v>0</v>
      </c>
      <c r="AD13" s="939">
        <f t="shared" si="1"/>
        <v>2</v>
      </c>
      <c r="AE13" s="939">
        <f t="shared" si="1"/>
        <v>0</v>
      </c>
      <c r="AF13" s="939">
        <f t="shared" si="1"/>
        <v>106</v>
      </c>
      <c r="AG13" s="939">
        <f t="shared" si="1"/>
        <v>0</v>
      </c>
      <c r="AH13" s="939">
        <f t="shared" si="1"/>
        <v>31</v>
      </c>
      <c r="AI13" s="939">
        <f t="shared" si="1"/>
        <v>0</v>
      </c>
      <c r="AJ13" s="939">
        <f t="shared" si="1"/>
        <v>0</v>
      </c>
      <c r="AK13" s="939">
        <f t="shared" si="1"/>
        <v>0</v>
      </c>
      <c r="AL13" s="939">
        <f t="shared" si="1"/>
        <v>27</v>
      </c>
      <c r="AM13" s="939">
        <f t="shared" si="1"/>
        <v>14</v>
      </c>
      <c r="AN13" s="939">
        <f t="shared" si="1"/>
        <v>0</v>
      </c>
      <c r="AO13" s="939">
        <f t="shared" si="1"/>
        <v>0</v>
      </c>
      <c r="AP13" s="944">
        <f>IF(ISNUMBER(((Datos!L13/Datos!K13)*11)/factor_trimestre),((Datos!L13/Datos!K13)*11)/factor_trimestre," - ")</f>
        <v>12.136281041792854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-0.39622641509433965</v>
      </c>
      <c r="AU13" s="939" t="str">
        <f>IF(ISNUMBER((DatosP!#REF!-DatosP!#REF!+DatosP!#REF!)/(DatosP!#REF!+DatosP!#REF!-DatosP!#REF!-DatosP!#REF!)),(DatosP!#REF!-DatosP!#REF!+DatosP!#REF!)/(DatosP!#REF!+DatosP!#REF!-DatosP!#REF!-DatosP!#REF!)," - ")</f>
        <v xml:space="preserve"> - </v>
      </c>
      <c r="AV13" s="945">
        <f>SUBTOTAL(9,AV9:AV12)</f>
        <v>-6.0606060606060608E-2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3.4899373144176842</v>
      </c>
      <c r="AQ18" s="944">
        <f>IF(ISNUMBER(((Datos!M18/Datos!L18)*11)/factor_trimestre),((Datos!M18/Datos!L18)*11)/factor_trimestre," - ")</f>
        <v>0.3854225751559841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0.17041800643086816</v>
      </c>
      <c r="AW18" s="946">
        <f>IF(ISNUMBER((Datos!Q18-Datos!R18)/(Datos!S18-Datos!Q18+Datos!R18)),(Datos!Q18-Datos!R18)/(Datos!S18-Datos!Q18+Datos!R18)," - ")</f>
        <v>-9.0646442759118817E-2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106</v>
      </c>
      <c r="G19" s="951">
        <f t="shared" si="4"/>
        <v>106</v>
      </c>
      <c r="H19" s="951">
        <f t="shared" si="4"/>
        <v>0</v>
      </c>
      <c r="I19" s="952">
        <f t="shared" si="4"/>
        <v>0</v>
      </c>
      <c r="J19" s="953">
        <f t="shared" si="4"/>
        <v>0</v>
      </c>
      <c r="K19" s="953">
        <f t="shared" si="4"/>
        <v>0</v>
      </c>
      <c r="L19" s="953">
        <f t="shared" si="4"/>
        <v>0</v>
      </c>
      <c r="M19" s="953">
        <f t="shared" si="4"/>
        <v>0</v>
      </c>
      <c r="N19" s="952">
        <f t="shared" si="4"/>
        <v>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42</v>
      </c>
      <c r="AC19" s="957">
        <f t="shared" si="5"/>
        <v>0</v>
      </c>
      <c r="AD19" s="957">
        <f t="shared" si="5"/>
        <v>2</v>
      </c>
      <c r="AE19" s="957">
        <f t="shared" si="5"/>
        <v>0</v>
      </c>
      <c r="AF19" s="958">
        <f t="shared" si="5"/>
        <v>106</v>
      </c>
      <c r="AG19" s="958">
        <f t="shared" si="5"/>
        <v>0</v>
      </c>
      <c r="AH19" s="958">
        <f t="shared" si="5"/>
        <v>31</v>
      </c>
      <c r="AI19" s="958">
        <f t="shared" si="5"/>
        <v>0</v>
      </c>
      <c r="AJ19" s="959">
        <f t="shared" si="5"/>
        <v>0</v>
      </c>
      <c r="AK19" s="959">
        <f t="shared" si="5"/>
        <v>0</v>
      </c>
      <c r="AL19" s="951">
        <f t="shared" si="5"/>
        <v>27</v>
      </c>
      <c r="AM19" s="951">
        <f t="shared" si="5"/>
        <v>14</v>
      </c>
      <c r="AN19" s="951">
        <f t="shared" si="5"/>
        <v>0</v>
      </c>
      <c r="AO19" s="951">
        <f t="shared" si="5"/>
        <v>0</v>
      </c>
      <c r="AP19" s="951">
        <f>IF(ISNUMBER(((Datos!L19/Datos!K19)*11)/factor_trimestre),((Datos!L19/Datos!K19)*11)/factor_trimestre," - ")</f>
        <v>6.5388722768047849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-0.39622641509433965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-5.0223214285714289E-3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70.666666666666671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2.7568097504180442</v>
      </c>
      <c r="F21" s="736">
        <f>IF(ISNUMBER(STDEV(F8:F18)),STDEV(F8:F18),"-")</f>
        <v>61.199128534100332</v>
      </c>
      <c r="G21" s="737">
        <f>IF(ISNUMBER(STDEV(G8:G18)),STDEV(G8:G18),"-")</f>
        <v>61.199128534100332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24.248711305964282</v>
      </c>
      <c r="AC21" s="738">
        <f>IF(ISNUMBER(STDEV(AC8:AC18)),STDEV(AC8:AC18),"-")</f>
        <v>0</v>
      </c>
      <c r="AD21" s="741"/>
      <c r="AE21" s="741"/>
      <c r="AF21" s="741"/>
      <c r="AG21" s="741"/>
      <c r="AH21" s="741"/>
      <c r="AI21" s="741"/>
      <c r="AJ21" s="742">
        <f>IF(ISNUMBER(STDEV(AJ8:AJ18)),STDEV(AJ8:AJ18),"-")</f>
        <v>0</v>
      </c>
      <c r="AK21" s="744"/>
      <c r="AL21" s="736">
        <f>IF(ISNUMBER(STDEV(AL8:AL18)),STDEV(AL8:AL18),"-")</f>
        <v>15.588457268119896</v>
      </c>
      <c r="AM21" s="736"/>
      <c r="AN21" s="736">
        <f>IF(ISNUMBER(STDEV(AN8:AN18)),STDEV(AN8:AN18),"-")</f>
        <v>0</v>
      </c>
      <c r="AO21" s="742">
        <f>IF(ISNUMBER(STDEV(AO8:AO18)),STDEV(AO8:AO18),"-")</f>
        <v>0</v>
      </c>
      <c r="AP21" s="779">
        <f>IF(ISNUMBER(STDEV(AP8:AP18)),STDEV(AP8:AP18),"-")</f>
        <v>4.7099918490945072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FltYW5GZD8Jc/njQBgHC3HsFVzo3wnkk3eQoCpxLyQRVmCmy96PPxkogUMVVhG6jLQRw9KyZI5YzT++3MBDatg==" saltValue="AsG+6q9jUA7OjUcgdqTB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ALICANTE-ALACANT</v>
      </c>
      <c r="C3" s="415"/>
      <c r="F3" s="375"/>
      <c r="G3" s="375"/>
      <c r="H3" s="375"/>
    </row>
    <row r="4" spans="1:15" ht="13.5" thickBot="1">
      <c r="A4" s="375"/>
      <c r="B4" s="391" t="str">
        <f>Criterios!A11 &amp;"  "&amp;Criterios!B11</f>
        <v>Resumenes por Partidos Judiciales  BENIDORM</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Z4HLGjAD+Spf25c1cBMZ9Eqlrtrh13RBcmrnBxYpXV+Ct9IP8nfuXexutK/+xVMWwvJs6KHpez4/ReWbQEwIGg==" saltValue="d4+1sMnXMABdVVLLB5NZ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ALICANTE-ALACANT</v>
      </c>
      <c r="C3" s="391"/>
      <c r="D3" s="425"/>
      <c r="BZ3" s="471"/>
    </row>
    <row r="4" spans="1:78" ht="13.5" thickBot="1">
      <c r="B4" s="391" t="str">
        <f>Criterios!A11 &amp;"  "&amp;Criterios!B11</f>
        <v>Resumenes por Partidos Judiciales  BENIDORM</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431</v>
      </c>
      <c r="E9" s="404">
        <f t="shared" ref="E9:E13" si="0">IF(ISNUMBER(D9/B9),D9/B9," - ")</f>
        <v>86.2</v>
      </c>
      <c r="F9" s="403">
        <f>IF(ISNUMBER(Datos!N9),Datos!N9," - ")</f>
        <v>661</v>
      </c>
      <c r="G9" s="404">
        <f t="shared" ref="G9:G13" si="1">IF(ISNUMBER(F9/B9),F9/B9," - ")</f>
        <v>132.19999999999999</v>
      </c>
      <c r="H9" s="403">
        <f>IF(ISNUMBER(Datos!O9),Datos!O9," - ")</f>
        <v>887</v>
      </c>
      <c r="I9" s="404">
        <f>IF(ISNUMBER(H9/B9),H9/B9," - ")</f>
        <v>177.4</v>
      </c>
      <c r="BZ9" s="1186">
        <f>Datos!EZ9</f>
        <v>0</v>
      </c>
    </row>
    <row r="10" spans="1:78">
      <c r="A10" s="402" t="str">
        <f>Datos!A10</f>
        <v>Jdos. Violencia contra la mujer</v>
      </c>
      <c r="B10" s="427">
        <f>Datos!AO10</f>
        <v>1</v>
      </c>
      <c r="C10" s="410">
        <f>Datos!AQ10</f>
        <v>1</v>
      </c>
      <c r="D10" s="403">
        <f>IF(ISNUMBER(Datos!M10),Datos!M10," - ")</f>
        <v>27</v>
      </c>
      <c r="E10" s="404">
        <f>IF(ISNUMBER(D10/B10),D10/B10," - ")</f>
        <v>27</v>
      </c>
      <c r="F10" s="403">
        <f>IF(ISNUMBER(Datos!N10),Datos!N10," - ")</f>
        <v>12</v>
      </c>
      <c r="G10" s="404">
        <f>IF(ISNUMBER(F10/B10),F10/B10," - ")</f>
        <v>12</v>
      </c>
      <c r="H10" s="403">
        <f>IF(ISNUMBER(Datos!O10),Datos!O10," - ")</f>
        <v>3</v>
      </c>
      <c r="I10" s="404">
        <f t="shared" ref="I10:I12" si="2">IF(ISNUMBER(H10/B10),H10/B10," - ")</f>
        <v>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2</v>
      </c>
      <c r="G12" s="404" t="str">
        <f t="shared" si="1"/>
        <v xml:space="preserve"> - </v>
      </c>
      <c r="H12" s="403">
        <f>IF(ISNUMBER(Datos!O12),Datos!O12," - ")</f>
        <v>2</v>
      </c>
      <c r="I12" s="404" t="str">
        <f t="shared" si="2"/>
        <v xml:space="preserve"> - </v>
      </c>
      <c r="BZ12" s="1186">
        <f>Datos!EZ12</f>
        <v>0</v>
      </c>
    </row>
    <row r="13" spans="1:78" ht="14.25" thickTop="1" thickBot="1">
      <c r="A13" s="848" t="str">
        <f>Datos!A13</f>
        <v>TOTAL</v>
      </c>
      <c r="B13" s="849">
        <f>Datos!AP13</f>
        <v>6</v>
      </c>
      <c r="C13" s="851">
        <f>Datos!AR13</f>
        <v>6</v>
      </c>
      <c r="D13" s="849">
        <f>SUBTOTAL(9,D9:D12)</f>
        <v>458</v>
      </c>
      <c r="E13" s="850">
        <f t="shared" si="0"/>
        <v>76.333333333333329</v>
      </c>
      <c r="F13" s="849">
        <f>SUBTOTAL(9,F9:F12)</f>
        <v>675</v>
      </c>
      <c r="G13" s="850">
        <f t="shared" si="1"/>
        <v>112.5</v>
      </c>
      <c r="H13" s="849">
        <f>SUBTOTAL(9,H9:H12)</f>
        <v>892</v>
      </c>
      <c r="I13" s="850">
        <f>IF(ISNUMBER(H13/B13),H13/B13," - ")</f>
        <v>148.66666666666666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395</v>
      </c>
      <c r="E15" s="404">
        <f t="shared" ref="E15:E18" si="3">IF(ISNUMBER(D15/B15),D15/B15," - ")</f>
        <v>98.75</v>
      </c>
      <c r="F15" s="403">
        <f>IF(ISNUMBER(Datos!N15),Datos!N15," - ")</f>
        <v>1441</v>
      </c>
      <c r="G15" s="404">
        <f t="shared" ref="G15:G18" si="4">IF(ISNUMBER(F15/B15),F15/B15," - ")</f>
        <v>360.25</v>
      </c>
      <c r="H15" s="403">
        <f>IF(ISNUMBER(Datos!O15),Datos!O15," - ")</f>
        <v>56</v>
      </c>
      <c r="I15" s="404">
        <f t="shared" ref="I15:I17" si="5">IF(ISNUMBER(H15/B15),H15/B15," - ")</f>
        <v>14</v>
      </c>
      <c r="BZ15" s="1186">
        <f>Datos!EZ15</f>
        <v>0</v>
      </c>
    </row>
    <row r="16" spans="1:78">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58</v>
      </c>
      <c r="E17" s="404">
        <f>IF(ISNUMBER(D17/B17),D17/B17," - ")</f>
        <v>58</v>
      </c>
      <c r="F17" s="403">
        <f>IF(ISNUMBER(Datos!N17),Datos!N17," - ")</f>
        <v>166</v>
      </c>
      <c r="G17" s="404">
        <f>IF(ISNUMBER(F17/B17),F17/B17," - ")</f>
        <v>166</v>
      </c>
      <c r="H17" s="403">
        <f>IF(ISNUMBER(Datos!O17),Datos!O17," - ")</f>
        <v>2</v>
      </c>
      <c r="I17" s="404">
        <f t="shared" si="5"/>
        <v>2</v>
      </c>
      <c r="BZ17" s="1186">
        <f>Datos!EZ17</f>
        <v>0</v>
      </c>
    </row>
    <row r="18" spans="1:78" ht="14.25" thickTop="1" thickBot="1">
      <c r="A18" s="848" t="str">
        <f>Datos!A18</f>
        <v>TOTAL</v>
      </c>
      <c r="B18" s="849">
        <f>Datos!AP18</f>
        <v>5</v>
      </c>
      <c r="C18" s="851">
        <f>Datos!AR18</f>
        <v>5</v>
      </c>
      <c r="D18" s="849">
        <f>SUBTOTAL(9,D15:D17)</f>
        <v>453</v>
      </c>
      <c r="E18" s="850">
        <f t="shared" si="3"/>
        <v>90.6</v>
      </c>
      <c r="F18" s="849">
        <f>SUBTOTAL(9,F15:F17)</f>
        <v>1607</v>
      </c>
      <c r="G18" s="850">
        <f t="shared" si="4"/>
        <v>321.39999999999998</v>
      </c>
      <c r="H18" s="849">
        <f>SUBTOTAL(9,H15:H17)</f>
        <v>58</v>
      </c>
      <c r="I18" s="850">
        <f>IF(ISNUMBER(H18/B18),H18/B18," - ")</f>
        <v>11.6</v>
      </c>
      <c r="BZ18" s="1186"/>
    </row>
    <row r="19" spans="1:78" ht="14.25" thickTop="1" thickBot="1">
      <c r="A19" s="793" t="str">
        <f>Datos!A19</f>
        <v>TOTAL JURISDICCIONES</v>
      </c>
      <c r="B19" s="794">
        <f>Datos!AP19</f>
        <v>10</v>
      </c>
      <c r="C19" s="794">
        <f>Datos!AR19</f>
        <v>10</v>
      </c>
      <c r="D19" s="794">
        <f>SUBTOTAL(9,D8:D18)</f>
        <v>911</v>
      </c>
      <c r="E19" s="795">
        <f>IF(ISNUMBER(D19/B19),D19/B19," - ")</f>
        <v>91.1</v>
      </c>
      <c r="F19" s="794">
        <f>SUBTOTAL(9,F8:F18)</f>
        <v>2282</v>
      </c>
      <c r="G19" s="795">
        <f>IF(ISNUMBER(F19/B19),F19/B19," - ")</f>
        <v>228.2</v>
      </c>
      <c r="H19" s="794">
        <f>SUBTOTAL(9,H8:H18)</f>
        <v>950</v>
      </c>
      <c r="I19" s="795">
        <f>IF(ISNUMBER(H19/B19),H19/B19," - ")</f>
        <v>95</v>
      </c>
    </row>
    <row r="22" spans="1:78">
      <c r="A22" s="391" t="str">
        <f>Criterios!A4</f>
        <v>Fecha Informe: 27 feb. 2025</v>
      </c>
    </row>
    <row r="27" spans="1:78">
      <c r="A27" s="414"/>
    </row>
  </sheetData>
  <sheetProtection algorithmName="SHA-512" hashValue="Ov1DcDqXrujixs/iqT/z0tmh219YiHbZ6dXGBdzF4RLd673I41wFp/eJjiBBbtoqehf4JUnynXFqkurnzIzEAg==" saltValue="xW0NTqmdimDVWChcU9KI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ALICANTE-ALACANT</v>
      </c>
    </row>
    <row r="4" spans="1:4" ht="13.5" thickBot="1">
      <c r="B4" s="391" t="str">
        <f>Criterios!A11 &amp;"  "&amp;Criterios!B11</f>
        <v>Resumenes por Partidos Judiciales  BENIDORM</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437</v>
      </c>
      <c r="C9" s="434">
        <f>IF(ISNUMBER(Datos!Q9),Datos!Q9," - ")</f>
        <v>523</v>
      </c>
      <c r="D9" s="408">
        <f>IF(ISNUMBER(Datos!R9),Datos!R9," - ")</f>
        <v>6697</v>
      </c>
    </row>
    <row r="10" spans="1:4">
      <c r="A10" s="402" t="str">
        <f>Datos!A10</f>
        <v>Jdos. Violencia contra la mujer</v>
      </c>
      <c r="B10" s="433">
        <f>IF(ISNUMBER(Datos!P10),Datos!P10," - ")</f>
        <v>1</v>
      </c>
      <c r="C10" s="434">
        <f>IF(ISNUMBER(Datos!Q10),Datos!Q10," - ")</f>
        <v>2</v>
      </c>
      <c r="D10" s="408">
        <f>IF(ISNUMBER(Datos!R10),Datos!R10," - ")</f>
        <v>40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0</v>
      </c>
      <c r="C12" s="434">
        <f>IF(ISNUMBER(Datos!Q12),Datos!Q12," - ")</f>
        <v>2</v>
      </c>
      <c r="D12" s="408">
        <f>IF(ISNUMBER(Datos!R12),Datos!R12," - ")</f>
        <v>31</v>
      </c>
    </row>
    <row r="13" spans="1:4" ht="14.25" thickTop="1" thickBot="1">
      <c r="A13" s="848" t="str">
        <f>Datos!A13</f>
        <v>TOTAL</v>
      </c>
      <c r="B13" s="849">
        <f>SUBTOTAL(9,B9:B12)</f>
        <v>438</v>
      </c>
      <c r="C13" s="853">
        <f>SUBTOTAL(9,C9:C12)</f>
        <v>527</v>
      </c>
      <c r="D13" s="851">
        <f>SUBTOTAL(9,D9:D12)</f>
        <v>6768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163</v>
      </c>
      <c r="C15" s="434">
        <f>IF(ISNUMBER(Datos!Q15),Datos!Q15," - ")</f>
        <v>109</v>
      </c>
      <c r="D15" s="408">
        <f>IF(ISNUMBER(Datos!R15),Datos!R15," - ")</f>
        <v>359</v>
      </c>
    </row>
    <row r="16" spans="1:4">
      <c r="A16" s="402" t="str">
        <f>Datos!A16</f>
        <v xml:space="preserve">Jdos. 1ª Instª. e Instr.                        </v>
      </c>
      <c r="B16" s="433">
        <f>IF(ISNUMBER(Datos!P16),Datos!P16," - ")</f>
        <v>0</v>
      </c>
      <c r="C16" s="434">
        <f>IF(ISNUMBER(Datos!Q16),Datos!Q16," - ")</f>
        <v>0</v>
      </c>
      <c r="D16" s="408">
        <f>IF(ISNUMBER(Datos!R16),Datos!R16," - ")</f>
        <v>0</v>
      </c>
    </row>
    <row r="17" spans="1:4" ht="13.5" thickBot="1">
      <c r="A17" s="402" t="str">
        <f>Datos!A17</f>
        <v>Jdos. Violencia contra la mujer</v>
      </c>
      <c r="B17" s="433">
        <f>IF(ISNUMBER(Datos!P17),Datos!P17," - ")</f>
        <v>3</v>
      </c>
      <c r="C17" s="434">
        <f>IF(ISNUMBER(Datos!Q17),Datos!Q17," - ")</f>
        <v>4</v>
      </c>
      <c r="D17" s="408">
        <f>IF(ISNUMBER(Datos!R17),Datos!R17," - ")</f>
        <v>5</v>
      </c>
    </row>
    <row r="18" spans="1:4" ht="14.25" thickTop="1" thickBot="1">
      <c r="A18" s="848" t="str">
        <f>Datos!A18</f>
        <v>TOTAL</v>
      </c>
      <c r="B18" s="849">
        <f>SUBTOTAL(9,B15:B17)</f>
        <v>166</v>
      </c>
      <c r="C18" s="853">
        <f>SUBTOTAL(9,C15:C17)</f>
        <v>113</v>
      </c>
      <c r="D18" s="851">
        <f>SUBTOTAL(9,D15:D17)</f>
        <v>364</v>
      </c>
    </row>
    <row r="19" spans="1:4" ht="16.5" customHeight="1" thickTop="1" thickBot="1">
      <c r="A19" s="793" t="str">
        <f>Datos!A19</f>
        <v>TOTAL JURISDICCIONES</v>
      </c>
      <c r="B19" s="798">
        <f>SUBTOTAL(9,B8:B18)</f>
        <v>604</v>
      </c>
      <c r="C19" s="799">
        <f>SUBTOTAL(9,C8:C18)</f>
        <v>640</v>
      </c>
      <c r="D19" s="800">
        <f>SUBTOTAL(9,D8:D18)</f>
        <v>7132</v>
      </c>
    </row>
    <row r="20" spans="1:4" ht="7.5" customHeight="1"/>
    <row r="21" spans="1:4" ht="6" customHeight="1"/>
    <row r="22" spans="1:4">
      <c r="A22" s="391" t="str">
        <f>Criterios!A4</f>
        <v>Fecha Informe: 27 feb. 2025</v>
      </c>
    </row>
    <row r="27" spans="1:4">
      <c r="A27" s="414"/>
    </row>
  </sheetData>
  <sheetProtection algorithmName="SHA-512" hashValue="9sgY+uvb2VDvRlgMt1JQcHEtjwAgpKQEPM4Y729a1UI8hRO8S/E22BYBrrnK8GCq+EE6G9fF4Ck4Ef5DHBqgCw==" saltValue="dtmTNi0fAeKigXEhVxWQ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ALICANTE-ALACANT</v>
      </c>
    </row>
    <row r="4" spans="1:11" ht="10.5" customHeight="1" thickBot="1">
      <c r="B4" s="391" t="str">
        <f>Criterios!A11 &amp;"  "&amp;Criterios!B11</f>
        <v>Resumenes por Partidos Judiciales  BENIDORM</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0.15492200107584722</v>
      </c>
      <c r="C9" s="456">
        <f>IF(ISNUMBER(
   IF(J_V="SI",(Datos!J9-Datos!T9)/Datos!T9,(Datos!J9+Datos!Z9-(Datos!T9+Datos!AH9))/(Datos!T9+Datos!AH9))
     ),IF(J_V="SI",(Datos!J9-Datos!T9)/Datos!T9,(Datos!J9+Datos!Z9-(Datos!T9+Datos!AH9))/(Datos!T9+Datos!AH9))," - ")</f>
        <v>-9.945300845350571E-4</v>
      </c>
      <c r="D9" s="456">
        <f>IF(ISNUMBER(
   IF(J_V="SI",(Datos!K9-Datos!U9)/Datos!U9,(Datos!K9+Datos!AA9-(Datos!U9+Datos!AI9))/(Datos!U9+Datos!AI9))
     ),IF(J_V="SI",(Datos!K9-Datos!U9)/Datos!U9,(Datos!K9+Datos!AA9-(Datos!U9+Datos!AI9))/(Datos!U9+Datos!AI9))," - ")</f>
        <v>-0.22222222222222221</v>
      </c>
      <c r="E9" s="456">
        <f>IF(ISNUMBER(
   IF(J_V="SI",(Datos!L9-Datos!V9)/Datos!V9,(Datos!L9+Datos!AB9-(Datos!V9+Datos!AJ9))/(Datos!V9+Datos!AJ9))
     ),IF(J_V="SI",(Datos!L9-Datos!V9)/Datos!V9,(Datos!L9+Datos!AB9-(Datos!V9+Datos!AJ9))/(Datos!V9+Datos!AJ9))," - ")</f>
        <v>0.2498611882287618</v>
      </c>
      <c r="F9" s="456">
        <f>IF(ISNUMBER((Datos!M9-Datos!W9)/Datos!W9),(Datos!M9-Datos!W9)/Datos!W9," - ")</f>
        <v>8.8383838383838384E-2</v>
      </c>
      <c r="G9" s="457">
        <f>IF(ISNUMBER((Datos!N9-Datos!X9)/Datos!X9),(Datos!N9-Datos!X9)/Datos!X9," - ")</f>
        <v>-0.20838323353293414</v>
      </c>
      <c r="H9" s="455">
        <f>IF(ISNUMBER(((NºAsuntos!G9/NºAsuntos!E9)-Datos!BD9)/Datos!BD9),((NºAsuntos!G9/NºAsuntos!E9)-Datos!BD9)/Datos!BD9," - ")</f>
        <v>-0.22144792876500188</v>
      </c>
      <c r="I9" s="456">
        <f>IF(ISNUMBER(((NºAsuntos!I9/NºAsuntos!G9)-Datos!BE9)/Datos!BE9),((NºAsuntos!I9/NºAsuntos!G9)-Datos!BE9)/Datos!BE9," - ")</f>
        <v>0.60696438486555104</v>
      </c>
      <c r="J9" s="461">
        <f>IF(ISNUMBER((('Resol  Asuntos'!D9/NºAsuntos!G9)-Datos!BF9)/Datos!BF9),(('Resol  Asuntos'!D9/NºAsuntos!G9)-Datos!BF9)/Datos!BF9," - ")</f>
        <v>-0.3363558597091531</v>
      </c>
      <c r="K9" s="462">
        <f>IF(ISNUMBER((((NºAsuntos!C9+NºAsuntos!E9)/NºAsuntos!G9)-Datos!BG9)/Datos!BG9),(((NºAsuntos!C9+NºAsuntos!E9)/NºAsuntos!G9)-Datos!BG9)/Datos!BG9," - ")</f>
        <v>0.43177197078093221</v>
      </c>
    </row>
    <row r="10" spans="1:11">
      <c r="A10" s="402" t="str">
        <f>Datos!A10</f>
        <v>Jdos. Violencia contra la mujer</v>
      </c>
      <c r="B10" s="455">
        <f>IF(ISNUMBER((Datos!I10-Datos!S10)/Datos!S10),(Datos!I10-Datos!S10)/Datos!S10," - ")</f>
        <v>1.0784313725490196</v>
      </c>
      <c r="C10" s="456">
        <f>IF(ISNUMBER((Datos!J10-Datos!T10)/Datos!T10),(Datos!J10-Datos!T10)/Datos!T10," - ")</f>
        <v>7.6923076923076927E-2</v>
      </c>
      <c r="D10" s="456">
        <f>IF(ISNUMBER((Datos!K10-Datos!U10)/Datos!U10),(Datos!K10-Datos!U10)/Datos!U10," - ")</f>
        <v>0.82608695652173914</v>
      </c>
      <c r="E10" s="456">
        <f>IF(ISNUMBER((Datos!L10-Datos!V10)/Datos!V10),(Datos!L10-Datos!V10)/Datos!V10," - ")</f>
        <v>0.58208955223880599</v>
      </c>
      <c r="F10" s="456">
        <f>IF(ISNUMBER((Datos!M10-Datos!W10)/Datos!W10),(Datos!M10-Datos!W10)/Datos!W10," - ")</f>
        <v>4.4000000000000004</v>
      </c>
      <c r="G10" s="457">
        <f>IF(ISNUMBER((Datos!N10-Datos!X10)/Datos!X10),(Datos!N10-Datos!X10)/Datos!X10," - ")</f>
        <v>0</v>
      </c>
      <c r="H10" s="455">
        <f>IF(ISNUMBER(((NºAsuntos!G10/NºAsuntos!E10)-Datos!BD10)/Datos!BD10),((NºAsuntos!G10/NºAsuntos!E10)-Datos!BD10)/Datos!BD10," - ")</f>
        <v>0.69565217391304346</v>
      </c>
      <c r="I10" s="456">
        <f>IF(ISNUMBER(((NºAsuntos!I10/NºAsuntos!G10)-Datos!BE10)/Datos!BE10),((NºAsuntos!I10/NºAsuntos!G10)-Datos!BE10)/Datos!BE10," - ")</f>
        <v>-0.13361762615493963</v>
      </c>
      <c r="J10" s="461">
        <f>IF(ISNUMBER((('Resol  Asuntos'!D10/NºAsuntos!G10)-Datos!BF10)/Datos!BF10),(('Resol  Asuntos'!D10/NºAsuntos!G10)-Datos!BF10)/Datos!BF10," - ")</f>
        <v>1.9571428571428575</v>
      </c>
      <c r="K10" s="462">
        <f>IF(ISNUMBER((((NºAsuntos!C10+NºAsuntos!E10)/NºAsuntos!G10)-Datos!BG10)/Datos!BG10),(((NºAsuntos!C10+NºAsuntos!E10)/NºAsuntos!G10)-Datos!BG10)/Datos!BG10," - ")</f>
        <v>-9.9470899470899501E-2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f>IF(ISNUMBER(
   IF(J_V="SI",(Datos!L12-Datos!V12)/Datos!V12,(Datos!L12+Datos!AB12-(Datos!V12+Datos!AJ12))/(Datos!V12+Datos!AJ12))
     ),IF(J_V="SI",(Datos!L12-Datos!V12)/Datos!V12,(Datos!L12+Datos!AB12-(Datos!V12+Datos!AJ12))/(Datos!V12+Datos!AJ12))," - ")</f>
        <v>-0.5</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0.16305506216696269</v>
      </c>
      <c r="C13" s="855">
        <f>IF(ISNUMBER(
   IF(J_V="SI",(Datos!J13-Datos!T13)/Datos!T13,(Datos!J13+Datos!Z13-(Datos!T13+Datos!AH13))/(Datos!T13+Datos!AH13))
     ),IF(J_V="SI",(Datos!J13-Datos!T13)/Datos!T13,(Datos!J13+Datos!Z13-(Datos!T13+Datos!AH13))/(Datos!T13+Datos!AH13))," - ")</f>
        <v>1.4634146341463415E-3</v>
      </c>
      <c r="D13" s="855">
        <f>IF(ISNUMBER(
   IF(J_V="SI",(Datos!K13-Datos!U13)/Datos!U13,(Datos!K13+Datos!AA13-(Datos!U13+Datos!AI13))/(Datos!U13+Datos!AI13))
     ),IF(J_V="SI",(Datos!K13-Datos!U13)/Datos!U13,(Datos!K13+Datos!AA13-(Datos!U13+Datos!AI13))/(Datos!U13+Datos!AI13))," - ")</f>
        <v>-0.21040723981900453</v>
      </c>
      <c r="E13" s="855">
        <f>IF(ISNUMBER(
   IF(J_V="SI",(Datos!L13-Datos!V13)/Datos!V13,(Datos!L13+Datos!AB13-(Datos!V13+Datos!AJ13))/(Datos!V13+Datos!AJ13))
     ),IF(J_V="SI",(Datos!L13-Datos!V13)/Datos!V13,(Datos!L13+Datos!AB13-(Datos!V13+Datos!AJ13))/(Datos!V13+Datos!AJ13))," - ")</f>
        <v>0.25365497076023391</v>
      </c>
      <c r="F13" s="856">
        <f>IF(ISNUMBER((Datos!M13-Datos!W13)/Datos!W13),(Datos!M13-Datos!W13)/Datos!W13," - ")</f>
        <v>0.14214463840399003</v>
      </c>
      <c r="G13" s="857">
        <f>IF(ISNUMBER((Datos!N13-Datos!X13)/Datos!X13),(Datos!N13-Datos!X13)/Datos!X13," - ")</f>
        <v>-0.20306965761511217</v>
      </c>
      <c r="H13" s="857">
        <f>IF(ISNUMBER(((NºAsuntos!G13/NºAsuntos!E13)-Datos!BD13)/Datos!BD13),((NºAsuntos!G13/NºAsuntos!E13)-Datos!BD13)/Datos!BD13," - ")</f>
        <v>-0.21156105291230368</v>
      </c>
      <c r="I13" s="857">
        <f>IF(ISNUMBER(((NºAsuntos!I13/NºAsuntos!G13)-Datos!BE13)/Datos!BE13),((NºAsuntos!I13/NºAsuntos!G13)-Datos!BE13)/Datos!BE13," - ")</f>
        <v>0.58772348732384927</v>
      </c>
      <c r="J13" s="857">
        <f>IF(ISNUMBER((('Resol  Asuntos'!D13/NºAsuntos!G13)-Datos!BF13)/Datos!BF13),(('Resol  Asuntos'!D13/NºAsuntos!G13)-Datos!BF13)/Datos!BF13," - ")</f>
        <v>-0.30946923181880193</v>
      </c>
      <c r="K13" s="857">
        <f>IF(ISNUMBER((((NºAsuntos!C13+NºAsuntos!E13)/NºAsuntos!G13)-Datos!BG13)/Datos!BG13),(((NºAsuntos!C13+NºAsuntos!E13)/NºAsuntos!G13)-Datos!BG13)/Datos!BG13," - ")</f>
        <v>0.41835377865329504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0.35886402753872632</v>
      </c>
      <c r="C15" s="456">
        <f>IF(ISNUMBER(
   IF(D_I="SI",(Datos!J15-Datos!T15)/Datos!T15,(Datos!J15+Datos!AD15-(Datos!T15+Datos!AL15))/(Datos!T15+Datos!AL15))
     ),IF(D_I="SI",(Datos!J15-Datos!T15)/Datos!T15,(Datos!J15+Datos!AD15-(Datos!T15+Datos!AL15))/(Datos!T15+Datos!AL15))," - ")</f>
        <v>0.16068996822514753</v>
      </c>
      <c r="D15" s="456">
        <f>IF(ISNUMBER(
   IF(D_I="SI",(Datos!K15-Datos!U15)/Datos!U15,(Datos!K15+Datos!AE15-(Datos!U15+Datos!AM15))/(Datos!U15+Datos!AM15))
     ),IF(D_I="SI",(Datos!K15-Datos!U15)/Datos!U15,(Datos!K15+Datos!AE15-(Datos!U15+Datos!AM15))/(Datos!U15+Datos!AM15))," - ")</f>
        <v>0.4124661246612466</v>
      </c>
      <c r="E15" s="456">
        <f>IF(ISNUMBER(
   IF(D_I="SI",(Datos!L15-Datos!V15)/Datos!V15,(Datos!L15+Datos!AF15-(Datos!V15+Datos!AN15))/(Datos!V15+Datos!AN15))
     ),IF(D_I="SI",(Datos!L15-Datos!V15)/Datos!V15,(Datos!L15+Datos!AF15-(Datos!V15+Datos!AN15))/(Datos!V15+Datos!AN15))," - ")</f>
        <v>0.17960088691796008</v>
      </c>
      <c r="F15" s="456">
        <f>IF(ISNUMBER((Datos!M15-Datos!W15)/Datos!W15),(Datos!M15-Datos!W15)/Datos!W15," - ")</f>
        <v>0.24213836477987422</v>
      </c>
      <c r="G15" s="457">
        <f>IF(ISNUMBER((Datos!N15-Datos!X15)/Datos!X15),(Datos!N15-Datos!X15)/Datos!X15," - ")</f>
        <v>0.40860215053763443</v>
      </c>
      <c r="H15" s="455">
        <f>IF(ISNUMBER(((NºAsuntos!G15/NºAsuntos!E15)-Datos!BD15)/Datos!BD15),((NºAsuntos!G15/NºAsuntos!E15)-Datos!BD15)/Datos!BD15," - ")</f>
        <v>0.21691938702726876</v>
      </c>
      <c r="I15" s="456">
        <f>IF(ISNUMBER(((NºAsuntos!I15/NºAsuntos!G15)-Datos!BE15)/Datos!BE15),((NºAsuntos!I15/NºAsuntos!G15)-Datos!BE15)/Datos!BE15," - ")</f>
        <v>-0.16486429916974804</v>
      </c>
      <c r="J15" s="461">
        <f>IF(ISNUMBER((('Resol  Asuntos'!D15/NºAsuntos!G15)-Datos!BF15)/Datos!BF15),(('Resol  Asuntos'!D15/NºAsuntos!G15)-Datos!BF15)/Datos!BF15," - ")</f>
        <v>-0.12058891672338143</v>
      </c>
      <c r="K15" s="462">
        <f>IF(ISNUMBER((((NºAsuntos!C15+NºAsuntos!E15)/NºAsuntos!G15)-Datos!BG15)/Datos!BG15),(((NºAsuntos!C15+NºAsuntos!E15)/NºAsuntos!G15)-Datos!BG15)/Datos!BG15," - ")</f>
        <v>-0.10622603595617397</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0</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0.56770833333333337</v>
      </c>
      <c r="C17" s="456">
        <f>IF(ISNUMBER(
   IF(D_I="SI",(Datos!J17-Datos!T17)/Datos!T17,(Datos!J17+Datos!AD17-(Datos!T17+Datos!AL17))/(Datos!T17+Datos!AL17))
     ),IF(D_I="SI",(Datos!J17-Datos!T17)/Datos!T17,(Datos!J17+Datos!AD17-(Datos!T17+Datos!AL17))/(Datos!T17+Datos!AL17))," - ")</f>
        <v>-4.6025104602510462E-2</v>
      </c>
      <c r="D17" s="456">
        <f>IF(ISNUMBER(
   IF(D_I="SI",(Datos!K17-Datos!U17)/Datos!U17,(Datos!K17+Datos!AE17-(Datos!U17+Datos!AM17))/(Datos!U17+Datos!AM17))
     ),IF(D_I="SI",(Datos!K17-Datos!U17)/Datos!U17,(Datos!K17+Datos!AE17-(Datos!U17+Datos!AM17))/(Datos!U17+Datos!AM17))," - ")</f>
        <v>-6.3876651982378851E-2</v>
      </c>
      <c r="E17" s="456">
        <f>IF(ISNUMBER(
   IF(D_I="SI",(Datos!L17-Datos!V17)/Datos!V17,(Datos!L17+Datos!AF17-(Datos!V17+Datos!AN17))/(Datos!V17+Datos!AN17))
     ),IF(D_I="SI",(Datos!L17-Datos!V17)/Datos!V17,(Datos!L17+Datos!AF17-(Datos!V17+Datos!AN17))/(Datos!V17+Datos!AN17))," - ")</f>
        <v>0.52995391705069128</v>
      </c>
      <c r="F17" s="456">
        <f>IF(ISNUMBER((Datos!M17-Datos!W17)/Datos!W17),(Datos!M17-Datos!W17)/Datos!W17," - ")</f>
        <v>-6.4516129032258063E-2</v>
      </c>
      <c r="G17" s="457">
        <f>IF(ISNUMBER((Datos!N17-Datos!X17)/Datos!X17),(Datos!N17-Datos!X17)/Datos!X17," - ")</f>
        <v>-0.12631578947368421</v>
      </c>
      <c r="H17" s="455">
        <f>IF(ISNUMBER(((NºAsuntos!G17/NºAsuntos!E17)-Datos!BD17)/Datos!BD17),((NºAsuntos!G17/NºAsuntos!E17)-Datos!BD17)/Datos!BD17," - ")</f>
        <v>-1.8712806244686634E-2</v>
      </c>
      <c r="I17" s="456">
        <f>IF(ISNUMBER(((NºAsuntos!I17/NºAsuntos!G17)-Datos!BE17)/Datos!BE17),((NºAsuntos!I17/NºAsuntos!G17)-Datos!BE17)/Datos!BE17," - ")</f>
        <v>0.63435077256709127</v>
      </c>
      <c r="J17" s="461">
        <f>IF(ISNUMBER((('Resol  Asuntos'!D17/NºAsuntos!G17)-Datos!BF17)/Datos!BF17),(('Resol  Asuntos'!D17/NºAsuntos!G17)-Datos!BF17)/Datos!BF17," - ")</f>
        <v>-6.8311195445922457E-4</v>
      </c>
      <c r="K17" s="462">
        <f>IF(ISNUMBER((((NºAsuntos!C17+NºAsuntos!E17)/NºAsuntos!G17)-Datos!BG17)/Datos!BG17),(((NºAsuntos!C17+NºAsuntos!E17)/NºAsuntos!G17)-Datos!BG17)/Datos!BG17," - ")</f>
        <v>0.20694644424934164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0.37450357426528991</v>
      </c>
      <c r="C18" s="855">
        <f>IF(ISNUMBER(
   IF(Criterios!B14="SI",(Datos!J18-Datos!T18)/Datos!T18,(Datos!J18+Datos!AD18-(Datos!T18+Datos!AL18))/(Datos!T18+Datos!AL18))
     ),IF(Criterios!B14="SI",(Datos!J18-Datos!T18)/Datos!T18,(Datos!J18+Datos!AD18-(Datos!T18+Datos!AL18))/(Datos!T18+Datos!AL18))," - ")</f>
        <v>0.12383439015292801</v>
      </c>
      <c r="D18" s="855">
        <f>IF(ISNUMBER(
   IF(Criterios!B14="SI",(Datos!K18-Datos!U18)/Datos!U18,(Datos!K18+Datos!AE18-(Datos!U18+Datos!AM18))/(Datos!U18+Datos!AM18))
     ),IF(Criterios!B14="SI",(Datos!K18-Datos!U18)/Datos!U18,(Datos!K18+Datos!AE18-(Datos!U18+Datos!AM18))/(Datos!U18+Datos!AM18))," - ")</f>
        <v>0.31839930404523709</v>
      </c>
      <c r="E18" s="855">
        <f>IF(ISNUMBER(
   IF(Criterios!B14="SI",(Datos!L18-Datos!V18)/Datos!V18,(Datos!L18+Datos!AF18-(Datos!V18+Datos!AN18))/(Datos!V18+Datos!AN18))
     ),IF(Criterios!B14="SI",(Datos!L18-Datos!V18)/Datos!V18,(Datos!L18+Datos!AF18-(Datos!V18+Datos!AN18))/(Datos!V18+Datos!AN18))," - ")</f>
        <v>0.20547008547008547</v>
      </c>
      <c r="F18" s="856">
        <f>IF(ISNUMBER((Datos!M18-Datos!W18)/Datos!W18),(Datos!M18-Datos!W18)/Datos!W18," - ")</f>
        <v>0.19210526315789472</v>
      </c>
      <c r="G18" s="857">
        <f>IF(ISNUMBER((Datos!N18-Datos!X18)/Datos!X18),(Datos!N18-Datos!X18)/Datos!X18," - ")</f>
        <v>0.32481450948062657</v>
      </c>
      <c r="H18" s="857">
        <f>IF(ISNUMBER(((NºAsuntos!G18/NºAsuntos!E18)-Datos!BD18)/Datos!BD18),((NºAsuntos!G18/NºAsuntos!E18)-Datos!BD18)/Datos!BD18," - ")</f>
        <v>0.17312596553112544</v>
      </c>
      <c r="I18" s="857">
        <f>IF(ISNUMBER(((NºAsuntos!I18/NºAsuntos!G18)-Datos!BE18)/Datos!BE18),((NºAsuntos!I18/NºAsuntos!G18)-Datos!BE18)/Datos!BE18," - ")</f>
        <v>-8.5656309305270115E-2</v>
      </c>
      <c r="J18" s="857">
        <f>IF(ISNUMBER((('Resol  Asuntos'!D18/NºAsuntos!G18)-Datos!BF18)/Datos!BF18),(('Resol  Asuntos'!D18/NºAsuntos!G18)-Datos!BF18)/Datos!BF18," - ")</f>
        <v>-9.5793467502474514E-2</v>
      </c>
      <c r="K18" s="857">
        <f>IF(ISNUMBER((((NºAsuntos!C18+NºAsuntos!E18)/NºAsuntos!G18)-Datos!BG18)/Datos!BG18),(((NºAsuntos!C18+NºAsuntos!E18)/NºAsuntos!G18)-Datos!BG18)/Datos!BG18," - ")</f>
        <v>-5.5491408932091119E-2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0.22839960726558664</v>
      </c>
      <c r="C19" s="802">
        <f>IF(ISNUMBER(
   IF(J_V="SI",(Datos!J19-Datos!T19)/Datos!T19,(Datos!J19+Datos!Z19-(Datos!T19+Datos!AH19))/(Datos!T19+Datos!AH19))
     ),IF(J_V="SI",(Datos!J19-Datos!T19)/Datos!T19,(Datos!J19+Datos!Z19-(Datos!T19+Datos!AH19))/(Datos!T19+Datos!AH19))," - ")</f>
        <v>7.080955400549567E-2</v>
      </c>
      <c r="D19" s="802">
        <f>IF(ISNUMBER(
   IF(J_V="SI",(Datos!K19-Datos!U19)/Datos!U19,(Datos!K19+Datos!AA19-(Datos!U19+Datos!AI19))/(Datos!U19+Datos!AI19))
     ),IF(J_V="SI",(Datos!K19-Datos!U19)/Datos!U19,(Datos!K19+Datos!AA19-(Datos!U19+Datos!AI19))/(Datos!U19+Datos!AI19))," - ")</f>
        <v>5.9214903526280775E-2</v>
      </c>
      <c r="E19" s="802">
        <f>IF(ISNUMBER(
   IF(J_V="SI",(Datos!L19-Datos!V19)/Datos!V19,(Datos!L19+Datos!AB19-(Datos!V19+Datos!AJ19))/(Datos!V19+Datos!AJ19))
     ),IF(J_V="SI",(Datos!L19-Datos!V19)/Datos!V19,(Datos!L19+Datos!AB19-(Datos!V19+Datos!AJ19))/(Datos!V19+Datos!AJ19))," - ")</f>
        <v>0.23687031082529475</v>
      </c>
      <c r="F19" s="803">
        <f>IF(ISNUMBER((Datos!M19-Datos!W19)/Datos!W19),(Datos!M19-Datos!W19)/Datos!W19," - ")</f>
        <v>0.16645326504481434</v>
      </c>
      <c r="G19" s="804">
        <f>IF(ISNUMBER((Datos!N19-Datos!X19)/Datos!X19),(Datos!N19-Datos!X19)/Datos!X19," - ")</f>
        <v>0.10776699029126213</v>
      </c>
      <c r="H19" s="805">
        <f>IF(ISNUMBER((Tasas!B19-Datos!BD19)/Datos!BD19),(Tasas!B19-Datos!BD19)/Datos!BD19," - ")</f>
        <v>-1.0827929612547565E-2</v>
      </c>
      <c r="I19" s="806">
        <f>IF(ISNUMBER((Tasas!C19-Datos!BE19)/Datos!BE19),(Tasas!C19-Datos!BE19)/Datos!BE19," - ")</f>
        <v>0.16772366656433296</v>
      </c>
      <c r="J19" s="807">
        <f>IF(ISNUMBER((Tasas!D19-Datos!BF19)/Datos!BF19),(Tasas!D19-Datos!BF19)/Datos!BF19," - ")</f>
        <v>-0.29502378696762505</v>
      </c>
      <c r="K19" s="807">
        <f>IF(ISNUMBER((Tasas!E19-Datos!BG19)/Datos!BG19),(Tasas!E19-Datos!BG19)/Datos!BG19," - ")</f>
        <v>0.10507332258778156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UeUCfQ1s9kl9dGCYNFG+/b5rTRn+1RCVp9wm6DoA7g0O9WuoIISSVXjEeJnZKE6AWIRzXmEkWR1RyTtkxeY3g==" saltValue="R+Or19G88gH9A4jpCV+K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ALICANTE-ALACANT</v>
      </c>
    </row>
    <row r="4" spans="1:7" ht="11.25" customHeight="1" thickBot="1">
      <c r="B4" s="391" t="str">
        <f>Criterios!A11 &amp;"  "&amp;Criterios!B11</f>
        <v>Resumenes por Partidos Judiciales  BENIDORM</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0.84668989547038331</v>
      </c>
      <c r="C9" s="443">
        <f>IF(ISNUMBER(NºAsuntos!I9/NºAsuntos!G9),NºAsuntos!I9/NºAsuntos!G9," - ")</f>
        <v>3.9700176366843034</v>
      </c>
      <c r="D9" s="444">
        <f>IF(ISNUMBER('Resol  Asuntos'!D9/NºAsuntos!G9),'Resol  Asuntos'!D9/NºAsuntos!G9," - ")</f>
        <v>0.25338036449147561</v>
      </c>
      <c r="E9" s="445">
        <f>IF(ISNUMBER((NºAsuntos!C9+NºAsuntos!E9)/NºAsuntos!G9),(NºAsuntos!C9+NºAsuntos!E9)/NºAsuntos!G9," - ")</f>
        <v>4.9676660787771896</v>
      </c>
      <c r="G9" s="463"/>
    </row>
    <row r="10" spans="1:7">
      <c r="A10" s="402" t="str">
        <f>Datos!A10</f>
        <v>Jdos. Violencia contra la mujer</v>
      </c>
      <c r="B10" s="442">
        <f>IF(ISNUMBER(NºAsuntos!G10/NºAsuntos!E10),NºAsuntos!G10/NºAsuntos!E10," - ")</f>
        <v>1</v>
      </c>
      <c r="C10" s="443">
        <f>IF(ISNUMBER(NºAsuntos!I10/NºAsuntos!G10),NºAsuntos!I10/NºAsuntos!G10," - ")</f>
        <v>2.5238095238095237</v>
      </c>
      <c r="D10" s="444">
        <f>IF(ISNUMBER('Resol  Asuntos'!D10/NºAsuntos!G10),'Resol  Asuntos'!D10/NºAsuntos!G10," - ")</f>
        <v>0.6428571428571429</v>
      </c>
      <c r="E10" s="445">
        <f>IF(ISNUMBER((NºAsuntos!C10+NºAsuntos!E10)/NºAsuntos!G10),(NºAsuntos!C10+NºAsuntos!E10)/NºAsuntos!G10," - ")</f>
        <v>3.5238095238095237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v>
      </c>
      <c r="C12" s="443">
        <f>IF(ISNUMBER(NºAsuntos!I12/NºAsuntos!G12),NºAsuntos!I12/NºAsuntos!G12," - ")</f>
        <v>0.5</v>
      </c>
      <c r="D12" s="444">
        <f>IF(ISNUMBER('Resol  Asuntos'!D12/NºAsuntos!G12),'Resol  Asuntos'!D12/NºAsuntos!G12," - ")</f>
        <v>0</v>
      </c>
      <c r="E12" s="445">
        <f>IF(ISNUMBER((NºAsuntos!C12+NºAsuntos!E12)/NºAsuntos!G12),(NºAsuntos!C12+NºAsuntos!E12)/NºAsuntos!G12," - ")</f>
        <v>1.5</v>
      </c>
      <c r="G12" s="463"/>
    </row>
    <row r="13" spans="1:7" ht="14.25" thickTop="1" thickBot="1">
      <c r="A13" s="848" t="str">
        <f>Datos!A13</f>
        <v>TOTAL</v>
      </c>
      <c r="B13" s="858">
        <f>IF(ISNUMBER(NºAsuntos!G13/NºAsuntos!E13),NºAsuntos!G13/NºAsuntos!E13," - ")</f>
        <v>0.84997564539698001</v>
      </c>
      <c r="C13" s="859">
        <f>IF(ISNUMBER(NºAsuntos!I13/NºAsuntos!G13),NºAsuntos!I13/NºAsuntos!G13," - ")</f>
        <v>3.9312320916905446</v>
      </c>
      <c r="D13" s="860">
        <f>IF(ISNUMBER('Resol  Asuntos'!D13/NºAsuntos!G13),'Resol  Asuntos'!D13/NºAsuntos!G13," - ")</f>
        <v>0.26246418338108884</v>
      </c>
      <c r="E13" s="861">
        <f>IF(ISNUMBER((NºAsuntos!C13+NºAsuntos!E13)/NºAsuntos!G13),(NºAsuntos!C13+NºAsuntos!E13)/NºAsuntos!G13," - ")</f>
        <v>4.928939828080229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1.0191630817364099</v>
      </c>
      <c r="C15" s="443">
        <f>IF(ISNUMBER(NºAsuntos!I15/NºAsuntos!G15),NºAsuntos!I15/NºAsuntos!G15," - ")</f>
        <v>1.2248656945510361</v>
      </c>
      <c r="D15" s="444">
        <f>IF(ISNUMBER('Resol  Asuntos'!D15/NºAsuntos!G15),'Resol  Asuntos'!D15/NºAsuntos!G15," - ")</f>
        <v>0.1515732924021489</v>
      </c>
      <c r="E15" s="445">
        <f>IF(ISNUMBER((NºAsuntos!C15+NºAsuntos!E15)/NºAsuntos!G15),(NºAsuntos!C15+NºAsuntos!E15)/NºAsuntos!G15," - ")</f>
        <v>2.1930161166538755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0.93201754385964908</v>
      </c>
      <c r="C17" s="443">
        <f>IF(ISNUMBER(NºAsuntos!I17/NºAsuntos!G17),NºAsuntos!I17/NºAsuntos!G17," - ")</f>
        <v>0.78117647058823525</v>
      </c>
      <c r="D17" s="444">
        <f>IF(ISNUMBER('Resol  Asuntos'!D17/NºAsuntos!G17),'Resol  Asuntos'!D17/NºAsuntos!G17," - ")</f>
        <v>0.13647058823529412</v>
      </c>
      <c r="E17" s="445">
        <f>IF(ISNUMBER((NºAsuntos!C17+NºAsuntos!E17)/NºAsuntos!G17),(NºAsuntos!C17+NºAsuntos!E17)/NºAsuntos!G17," - ")</f>
        <v>1.7811764705882354</v>
      </c>
      <c r="G17" s="463"/>
    </row>
    <row r="18" spans="1:7" ht="14.25" thickTop="1" thickBot="1">
      <c r="A18" s="848" t="str">
        <f>Datos!A18</f>
        <v>TOTAL</v>
      </c>
      <c r="B18" s="858">
        <f>IF(ISNUMBER(NºAsuntos!G18/NºAsuntos!E18),NºAsuntos!G18/NºAsuntos!E18," - ")</f>
        <v>1.005974112180551</v>
      </c>
      <c r="C18" s="859">
        <f>IF(ISNUMBER(NºAsuntos!I18/NºAsuntos!G18),NºAsuntos!I18/NºAsuntos!G18," - ")</f>
        <v>1.1633124381392279</v>
      </c>
      <c r="D18" s="862">
        <f>IF(ISNUMBER('Resol  Asuntos'!D18/NºAsuntos!G18),'Resol  Asuntos'!D18/NºAsuntos!G18," - ")</f>
        <v>0.14945562520620256</v>
      </c>
      <c r="E18" s="861">
        <f>IF(ISNUMBER((NºAsuntos!C18+NºAsuntos!E18)/NºAsuntos!G18),(NºAsuntos!C18+NºAsuntos!E18)/NºAsuntos!G18," - ")</f>
        <v>2.1359287363906301</v>
      </c>
      <c r="G18" s="463"/>
    </row>
    <row r="19" spans="1:7" ht="15.75" customHeight="1" thickTop="1" thickBot="1">
      <c r="A19" s="793" t="str">
        <f>Datos!A19</f>
        <v>TOTAL JURISDICCIONES</v>
      </c>
      <c r="B19" s="808">
        <f>IF(ISNUMBER(NºAsuntos!G19/NºAsuntos!E19),NºAsuntos!G19/NºAsuntos!E19," - ")</f>
        <v>0.94275562574022898</v>
      </c>
      <c r="C19" s="809">
        <f>IF(ISNUMBER(NºAsuntos!I19/NºAsuntos!G19),NºAsuntos!I19/NºAsuntos!G19," - ")</f>
        <v>2.1746231155778895</v>
      </c>
      <c r="D19" s="810">
        <f>IF(ISNUMBER('Resol  Asuntos'!D19/NºAsuntos!G19),'Resol  Asuntos'!D19/NºAsuntos!G19," - ")</f>
        <v>0.19074539363484086</v>
      </c>
      <c r="E19" s="811">
        <f>IF(ISNUMBER((NºAsuntos!C19+NºAsuntos!E19)/NºAsuntos!G19),(NºAsuntos!C19+NºAsuntos!E19)/NºAsuntos!G19," - ")</f>
        <v>3.1564070351758793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RlwDp+eINcY0ZQubamBRpEVg7ajMIAhTikCoklM0xRm4yFnrAYf+OEH1hQHRpTryRKubgmZ/UpP0pOSQaLJHQ==" saltValue="kQsCtXw/gT6VFKBmHWU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ALICANTE-ALACANT</v>
      </c>
      <c r="N2" s="262" t="str">
        <f>Criterios!A11 &amp;"  "&amp;Criterios!B11</f>
        <v>Resumenes por Partidos Judiciales  BENIDORM</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579</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830</v>
      </c>
      <c r="AX5" s="1245" t="s">
        <v>321</v>
      </c>
      <c r="AY5" s="1245" t="s">
        <v>744</v>
      </c>
      <c r="AZ5" s="1245" t="s">
        <v>745</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437</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523</v>
      </c>
      <c r="Y9" s="334">
        <f>SUM(W9:X9)</f>
        <v>523</v>
      </c>
      <c r="Z9" s="335" t="str">
        <f>IF(ISNUMBER(Datos!CC9),Datos!CC9," - ")</f>
        <v xml:space="preserve"> - </v>
      </c>
      <c r="AA9" s="332" t="str">
        <f>IF(ISNUMBER(IF(J_V="SI",Datos!L9,Datos!L9+Datos!AB9)-IF(Monitorios="SI",Datos!CD9,0)),
                          IF(J_V="SI",Datos!L9,Datos!L9+Datos!AB9)-IF(Monitorios="SI",Datos!CD9,0),
                          " - ")</f>
        <v xml:space="preserve"> - </v>
      </c>
      <c r="AB9" s="334">
        <f>IF(ISNUMBER(Datos!R9),Datos!R9," - ")</f>
        <v>6697</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431</v>
      </c>
      <c r="AJ9" s="229" t="str">
        <f>IF(ISNUMBER(Datos!BW9),Datos!BW9," - ")</f>
        <v xml:space="preserve"> - </v>
      </c>
      <c r="AK9" s="228" t="str">
        <f>IF(ISNUMBER(Datos!BX9),Datos!BX9," - ")</f>
        <v xml:space="preserve"> - </v>
      </c>
      <c r="AL9" s="243">
        <f>IF(ISNUMBER(NºAsuntos!G9/NºAsuntos!E9),NºAsuntos!G9/NºAsuntos!E9," - ")</f>
        <v>0.84668989547038331</v>
      </c>
      <c r="AM9" s="260">
        <f>IF(ISNUMBER(((NºAsuntos!I9/NºAsuntos!G9)*11)/factor_trimestre),((NºAsuntos!I9/NºAsuntos!G9)*11)/factor_trimestre," - ")</f>
        <v>11.91005291005291</v>
      </c>
      <c r="AN9" s="244">
        <f>IF(ISNUMBER('Resol  Asuntos'!D9/NºAsuntos!G9),'Resol  Asuntos'!D9/NºAsuntos!G9," - ")</f>
        <v>0.25338036449147561</v>
      </c>
      <c r="AO9" s="245">
        <f>IF(ISNUMBER((NºAsuntos!C9+NºAsuntos!E9)/NºAsuntos!G9),(NºAsuntos!C9+NºAsuntos!E9)/NºAsuntos!G9," - ")</f>
        <v>4.9676660787771896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106</v>
      </c>
      <c r="G10" s="333">
        <f>IF(ISNUMBER(Datos!I10),Datos!I10," - ")</f>
        <v>106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42</v>
      </c>
      <c r="X10" s="226">
        <f>IF(ISNUMBER(Datos!Q10),Datos!Q10," - ")</f>
        <v>2</v>
      </c>
      <c r="Y10" s="334">
        <f t="shared" ref="Y10:Y12" si="0">SUM(W10:X10)</f>
        <v>44</v>
      </c>
      <c r="Z10" s="335" t="str">
        <f>IF(ISNUMBER(Datos!CC10),Datos!CC10," - ")</f>
        <v xml:space="preserve"> - </v>
      </c>
      <c r="AA10" s="332">
        <f>IF(ISNUMBER(Datos!L10),Datos!L10,"-")</f>
        <v>106</v>
      </c>
      <c r="AB10" s="334">
        <f>IF(ISNUMBER(Datos!R10),Datos!R10," - ")</f>
        <v>40</v>
      </c>
      <c r="AC10" s="334">
        <f t="shared" ref="AC10:AC12" si="1">IF(ISNUMBER(AA10+AB10),AA10+AB10," - ")</f>
        <v>146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27</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7.5714285714285712</v>
      </c>
      <c r="AN10" s="244">
        <f>IF(ISNUMBER('Resol  Asuntos'!D10/NºAsuntos!G10),'Resol  Asuntos'!D10/NºAsuntos!G10," - ")</f>
        <v>0.6428571428571429</v>
      </c>
      <c r="AO10" s="245">
        <f>IF(ISNUMBER((NºAsuntos!C10+NºAsuntos!E10)/NºAsuntos!G10),(NºAsuntos!C10+NºAsuntos!E10)/NºAsuntos!G10," - ")</f>
        <v>3.5238095238095237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v>
      </c>
      <c r="Y12" s="334">
        <f t="shared" si="0"/>
        <v>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f>IF(ISNUMBER(NºAsuntos!G12/NºAsuntos!E12),NºAsuntos!G12/NºAsuntos!E12," - ")</f>
        <v>1</v>
      </c>
      <c r="AM12" s="260">
        <f>IF(ISNUMBER(((NºAsuntos!I12/NºAsuntos!G12)*11)/factor_trimestre),((NºAsuntos!I12/NºAsuntos!G12)*11)/factor_trimestre," - ")</f>
        <v>1.5</v>
      </c>
      <c r="AN12" s="244">
        <f>IF(ISNUMBER('Resol  Asuntos'!D12/NºAsuntos!G12),'Resol  Asuntos'!D12/NºAsuntos!G12," - ")</f>
        <v>0</v>
      </c>
      <c r="AO12" s="245">
        <f>IF(ISNUMBER((NºAsuntos!C12+NºAsuntos!E12)/NºAsuntos!G12),(NºAsuntos!C12+NºAsuntos!E12)/NºAsuntos!G12," - ")</f>
        <v>1.5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106</v>
      </c>
      <c r="G13" s="866">
        <f t="shared" si="3"/>
        <v>106</v>
      </c>
      <c r="H13" s="865">
        <f t="shared" si="3"/>
        <v>0</v>
      </c>
      <c r="I13" s="867">
        <f t="shared" si="3"/>
        <v>0</v>
      </c>
      <c r="J13" s="867">
        <f t="shared" si="3"/>
        <v>0</v>
      </c>
      <c r="K13" s="867">
        <f t="shared" si="3"/>
        <v>0</v>
      </c>
      <c r="L13" s="867">
        <f t="shared" si="3"/>
        <v>438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42</v>
      </c>
      <c r="X13" s="867">
        <f t="shared" si="4"/>
        <v>527</v>
      </c>
      <c r="Y13" s="868">
        <f t="shared" si="4"/>
        <v>569</v>
      </c>
      <c r="Z13" s="868">
        <f t="shared" si="4"/>
        <v>0</v>
      </c>
      <c r="AA13" s="868">
        <f t="shared" si="4"/>
        <v>106</v>
      </c>
      <c r="AB13" s="868">
        <f t="shared" si="4"/>
        <v>6768</v>
      </c>
      <c r="AC13" s="868">
        <f t="shared" si="4"/>
        <v>146</v>
      </c>
      <c r="AD13" s="868">
        <f t="shared" si="4"/>
        <v>0</v>
      </c>
      <c r="AE13" s="872">
        <f t="shared" si="4"/>
        <v>0</v>
      </c>
      <c r="AF13" s="865">
        <f t="shared" si="4"/>
        <v>0</v>
      </c>
      <c r="AG13" s="873">
        <f t="shared" si="4"/>
        <v>0</v>
      </c>
      <c r="AH13" s="870">
        <f t="shared" si="4"/>
        <v>0</v>
      </c>
      <c r="AI13" s="865">
        <f t="shared" si="4"/>
        <v>458</v>
      </c>
      <c r="AJ13" s="867">
        <f t="shared" si="4"/>
        <v>0</v>
      </c>
      <c r="AK13" s="870">
        <f>SUBTOTAL(9,AK9:AK12)</f>
        <v>0</v>
      </c>
      <c r="AL13" s="874">
        <f>IF(ISNUMBER(NºAsuntos!G13/NºAsuntos!E13),NºAsuntos!G13/NºAsuntos!E13," - ")</f>
        <v>0.84997564539698001</v>
      </c>
      <c r="AM13" s="874">
        <f>IF(ISNUMBER(((NºAsuntos!I13/NºAsuntos!G13)*11)/factor_trimestre),((NºAsuntos!I13/NºAsuntos!G13)*11)/factor_trimestre," - ")</f>
        <v>11.793696275071634</v>
      </c>
      <c r="AN13" s="875">
        <f>IF(ISNUMBER('Resol  Asuntos'!D13/NºAsuntos!G13),'Resol  Asuntos'!D13/NºAsuntos!G13," - ")</f>
        <v>0.26246418338108884</v>
      </c>
      <c r="AO13" s="876">
        <f>IF(ISNUMBER((NºAsuntos!C13+NºAsuntos!E13)/NºAsuntos!G13),(NºAsuntos!C13+NºAsuntos!E13)/NºAsuntos!G13," - ")</f>
        <v>4.928939828080229</v>
      </c>
      <c r="AP13" s="877" t="str">
        <f t="shared" si="2"/>
        <v xml:space="preserve"> - </v>
      </c>
      <c r="AQ13" s="877">
        <f>IF(ISNUMBER((H13-W13+K13)/(F13)),(H13-W13+K13)/(F13)," - ")</f>
        <v>-0.39622641509433965</v>
      </c>
      <c r="AR13" s="878">
        <f>IF(ISNUMBER((Datos!P13-Datos!Q13)/(Datos!R13-Datos!P13+Datos!Q13)),(Datos!P13-Datos!Q13)/(Datos!R13-Datos!P13+Datos!Q13)," - ")</f>
        <v>-1.2979437071605659E-2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3241</v>
      </c>
      <c r="G15" s="333">
        <f>IF(ISNUMBER(IF(D_I="SI",Datos!I15,Datos!I15+Datos!AC15)),IF(D_I="SI",Datos!I15,Datos!I15+Datos!AC15)," - ")</f>
        <v>3158</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163</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2606</v>
      </c>
      <c r="X15" s="226">
        <f>IF(ISNUMBER(Datos!Q15),Datos!Q15," - ")</f>
        <v>109</v>
      </c>
      <c r="Y15" s="334">
        <f>SUM(W15)</f>
        <v>2606</v>
      </c>
      <c r="Z15" s="335" t="str">
        <f>IF(ISNUMBER(Datos!CC15),Datos!CC15," - ")</f>
        <v xml:space="preserve"> - </v>
      </c>
      <c r="AA15" s="332">
        <f>IF(ISNUMBER(IF(D_I="SI",Datos!L15,Datos!L15+Datos!AF15)),IF(D_I="SI",Datos!L15,Datos!L15+Datos!AF15)," - ")</f>
        <v>3192</v>
      </c>
      <c r="AB15" s="334">
        <f>IF(ISNUMBER(Datos!R15),Datos!R15," - ")</f>
        <v>359</v>
      </c>
      <c r="AC15" s="334">
        <f t="shared" ref="AC15:AC17" si="6">IF(ISNUMBER(AA15+AB15),AA15+AB15," - ")</f>
        <v>3551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395</v>
      </c>
      <c r="AJ15" s="231" t="str">
        <f>IF(ISNUMBER(Datos!BW15),Datos!BW15," - ")</f>
        <v xml:space="preserve"> - </v>
      </c>
      <c r="AK15" s="232" t="str">
        <f>IF(ISNUMBER(Datos!BX15),Datos!BX15," - ")</f>
        <v xml:space="preserve"> - </v>
      </c>
      <c r="AL15" s="243">
        <f>IF(ISNUMBER(NºAsuntos!G15/NºAsuntos!E15),NºAsuntos!G15/NºAsuntos!E15," - ")</f>
        <v>1.0191630817364099</v>
      </c>
      <c r="AM15" s="260">
        <f>IF(ISNUMBER(((NºAsuntos!I15/NºAsuntos!G15)*11)/factor_trimestre),((NºAsuntos!I15/NºAsuntos!G15)*11)/factor_trimestre," - ")</f>
        <v>3.6745970836531083</v>
      </c>
      <c r="AN15" s="244">
        <f>IF(ISNUMBER('Resol  Asuntos'!D15/NºAsuntos!G15),'Resol  Asuntos'!D15/NºAsuntos!G15," - ")</f>
        <v>0.1515732924021489</v>
      </c>
      <c r="AO15" s="245">
        <f>IF(ISNUMBER((NºAsuntos!C15+NºAsuntos!E15)/NºAsuntos!G15),(NºAsuntos!C15+NºAsuntos!E15)/NºAsuntos!G15," - ")</f>
        <v>2.1930161166538755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2</v>
      </c>
      <c r="G16" s="333">
        <f>IF(ISNUMBER(IF(D_I="SI",Datos!I16,Datos!I16+Datos!AC16)),IF(D_I="SI",Datos!I16,Datos!I16+Datos!AC16)," - ")</f>
        <v>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2</v>
      </c>
      <c r="AB16" s="334">
        <f>IF(ISNUMBER(Datos!R16),Datos!R16," - ")</f>
        <v>0</v>
      </c>
      <c r="AC16" s="334">
        <f t="shared" si="6"/>
        <v>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301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425</v>
      </c>
      <c r="X17" s="226">
        <f>IF(ISNUMBER(Datos!Q17),Datos!Q17," - ")</f>
        <v>4</v>
      </c>
      <c r="Y17" s="334">
        <f t="shared" si="7"/>
        <v>429</v>
      </c>
      <c r="Z17" s="335" t="str">
        <f>IF(ISNUMBER(Datos!CC17),Datos!CC17," - ")</f>
        <v xml:space="preserve"> - </v>
      </c>
      <c r="AA17" s="332">
        <f>IF(ISNUMBER(Datos!L17),Datos!L17,"-")</f>
        <v>332</v>
      </c>
      <c r="AB17" s="334">
        <f>IF(ISNUMBER(Datos!R17),Datos!R17," - ")</f>
        <v>5</v>
      </c>
      <c r="AC17" s="334">
        <f t="shared" si="6"/>
        <v>337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58</v>
      </c>
      <c r="AJ17" s="231" t="str">
        <f>IF(ISNUMBER(Datos!BW17),Datos!BW17," - ")</f>
        <v xml:space="preserve"> - </v>
      </c>
      <c r="AK17" s="232" t="str">
        <f>IF(ISNUMBER(Datos!BX17),Datos!BX17," - ")</f>
        <v xml:space="preserve"> - </v>
      </c>
      <c r="AL17" s="243">
        <f>IF(ISNUMBER(NºAsuntos!G17/NºAsuntos!E17),NºAsuntos!G17/NºAsuntos!E17," - ")</f>
        <v>0.93201754385964908</v>
      </c>
      <c r="AM17" s="260">
        <f>IF(ISNUMBER(((NºAsuntos!I17/NºAsuntos!G17)*11)/factor_trimestre),((NºAsuntos!I17/NºAsuntos!G17)*11)/factor_trimestre," - ")</f>
        <v>2.3435294117647056</v>
      </c>
      <c r="AN17" s="244">
        <f>IF(ISNUMBER('Resol  Asuntos'!D17/NºAsuntos!G17),'Resol  Asuntos'!D17/NºAsuntos!G17," - ")</f>
        <v>0.13647058823529412</v>
      </c>
      <c r="AO17" s="245">
        <f>IF(ISNUMBER((NºAsuntos!C17+NºAsuntos!E17)/NºAsuntos!G17),(NºAsuntos!C17+NºAsuntos!E17)/NºAsuntos!G17," - ")</f>
        <v>1.7811764705882354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3243</v>
      </c>
      <c r="G18" s="866">
        <f>SUBTOTAL(9,G15:G17)</f>
        <v>3461</v>
      </c>
      <c r="H18" s="865">
        <f t="shared" ref="H18:O18" si="10">SUBTOTAL(9,H14:H17)</f>
        <v>0</v>
      </c>
      <c r="I18" s="867">
        <f t="shared" si="10"/>
        <v>0</v>
      </c>
      <c r="J18" s="867">
        <f t="shared" si="10"/>
        <v>0</v>
      </c>
      <c r="K18" s="867">
        <f t="shared" si="10"/>
        <v>0</v>
      </c>
      <c r="L18" s="867">
        <f t="shared" si="10"/>
        <v>166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3031</v>
      </c>
      <c r="X18" s="867">
        <f t="shared" si="11"/>
        <v>113</v>
      </c>
      <c r="Y18" s="868">
        <f t="shared" si="11"/>
        <v>3035</v>
      </c>
      <c r="Z18" s="868">
        <f t="shared" si="11"/>
        <v>0</v>
      </c>
      <c r="AA18" s="868">
        <f t="shared" si="11"/>
        <v>3526</v>
      </c>
      <c r="AB18" s="868">
        <f t="shared" si="11"/>
        <v>364</v>
      </c>
      <c r="AC18" s="868">
        <f t="shared" si="11"/>
        <v>3890</v>
      </c>
      <c r="AD18" s="868">
        <f t="shared" si="11"/>
        <v>0</v>
      </c>
      <c r="AE18" s="872">
        <f t="shared" si="11"/>
        <v>0</v>
      </c>
      <c r="AF18" s="865">
        <f t="shared" si="11"/>
        <v>0</v>
      </c>
      <c r="AG18" s="873">
        <f t="shared" si="11"/>
        <v>0</v>
      </c>
      <c r="AH18" s="870">
        <f t="shared" si="11"/>
        <v>0</v>
      </c>
      <c r="AI18" s="865">
        <f t="shared" si="11"/>
        <v>453</v>
      </c>
      <c r="AJ18" s="867">
        <f t="shared" si="11"/>
        <v>0</v>
      </c>
      <c r="AK18" s="870">
        <f t="shared" si="11"/>
        <v>0</v>
      </c>
      <c r="AL18" s="874">
        <f>IF(ISNUMBER(NºAsuntos!G18/NºAsuntos!E18),NºAsuntos!G18/NºAsuntos!E18," - ")</f>
        <v>1.005974112180551</v>
      </c>
      <c r="AM18" s="874">
        <f>IF(ISNUMBER(((NºAsuntos!I18/NºAsuntos!G18)*11)/factor_trimestre),((NºAsuntos!I18/NºAsuntos!G18)*11)/factor_trimestre," - ")</f>
        <v>3.4899373144176842</v>
      </c>
      <c r="AN18" s="875">
        <f>IF(ISNUMBER('Resol  Asuntos'!D18/NºAsuntos!G18),'Resol  Asuntos'!D18/NºAsuntos!G18," - ")</f>
        <v>0.14945562520620256</v>
      </c>
      <c r="AO18" s="876">
        <f>IF(ISNUMBER((NºAsuntos!C18+NºAsuntos!E18)/NºAsuntos!G18),(NºAsuntos!C18+NºAsuntos!E18)/NºAsuntos!G18," - ")</f>
        <v>2.1359287363906301</v>
      </c>
      <c r="AP18" s="877" t="str">
        <f t="shared" si="2"/>
        <v xml:space="preserve"> - </v>
      </c>
      <c r="AQ18" s="877">
        <f>IF(ISNUMBER((H18-W18+K18)/(F18)),(H18-W18+K18)/(F18)," - ")</f>
        <v>-0.93462843046561828</v>
      </c>
      <c r="AR18" s="878">
        <f>IF(ISNUMBER((Datos!P18-Datos!Q18)/(Datos!R18-Datos!P18+Datos!Q18)),(Datos!P18-Datos!Q18)/(Datos!R18-Datos!P18+Datos!Q18)," - ")</f>
        <v>0.17041800643086816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3349</v>
      </c>
      <c r="G19" s="821">
        <f t="shared" si="13"/>
        <v>3567</v>
      </c>
      <c r="H19" s="820">
        <f t="shared" si="13"/>
        <v>0</v>
      </c>
      <c r="I19" s="822">
        <f t="shared" si="13"/>
        <v>0</v>
      </c>
      <c r="J19" s="822">
        <f t="shared" si="13"/>
        <v>0</v>
      </c>
      <c r="K19" s="881">
        <f t="shared" si="13"/>
        <v>0</v>
      </c>
      <c r="L19" s="822">
        <f t="shared" si="13"/>
        <v>604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3073</v>
      </c>
      <c r="X19" s="821">
        <f t="shared" si="14"/>
        <v>640</v>
      </c>
      <c r="Y19" s="828">
        <f t="shared" si="14"/>
        <v>3604</v>
      </c>
      <c r="Z19" s="828">
        <f t="shared" si="14"/>
        <v>0</v>
      </c>
      <c r="AA19" s="828">
        <f t="shared" si="14"/>
        <v>3632</v>
      </c>
      <c r="AB19" s="828">
        <f t="shared" si="14"/>
        <v>7132</v>
      </c>
      <c r="AC19" s="828">
        <f t="shared" si="14"/>
        <v>4036</v>
      </c>
      <c r="AD19" s="828">
        <f t="shared" si="14"/>
        <v>0</v>
      </c>
      <c r="AE19" s="830">
        <f t="shared" si="14"/>
        <v>0</v>
      </c>
      <c r="AF19" s="831">
        <f t="shared" si="14"/>
        <v>0</v>
      </c>
      <c r="AG19" s="832">
        <f t="shared" si="14"/>
        <v>0</v>
      </c>
      <c r="AH19" s="830">
        <f t="shared" si="14"/>
        <v>0</v>
      </c>
      <c r="AI19" s="820">
        <f t="shared" si="14"/>
        <v>911</v>
      </c>
      <c r="AJ19" s="820">
        <f t="shared" si="14"/>
        <v>0</v>
      </c>
      <c r="AK19" s="830">
        <f t="shared" si="14"/>
        <v>0</v>
      </c>
      <c r="AL19" s="884">
        <f>IF(ISNUMBER(NºAsuntos!G19/NºAsuntos!E19),NºAsuntos!G19/NºAsuntos!E19," - ")</f>
        <v>0.94275562574022898</v>
      </c>
      <c r="AM19" s="885">
        <f>IF(ISNUMBER(((NºAsuntos!I19/NºAsuntos!G19)*11)/factor_trimestre),((NºAsuntos!I19/NºAsuntos!G19)*11)/factor_trimestre," - ")</f>
        <v>6.5238693467336688</v>
      </c>
      <c r="AN19" s="885">
        <f>IF(ISNUMBER('Resol  Asuntos'!D19/NºAsuntos!G19),'Resol  Asuntos'!D19/NºAsuntos!G19," - ")</f>
        <v>0.19074539363484086</v>
      </c>
      <c r="AO19" s="886">
        <f>IF(ISNUMBER((NºAsuntos!C19+NºAsuntos!E19)/NºAsuntos!G19),(NºAsuntos!C19+NºAsuntos!E19)/NºAsuntos!G19," - ")</f>
        <v>3.1564070351758793</v>
      </c>
      <c r="AP19" s="887" t="str">
        <f t="shared" si="2"/>
        <v xml:space="preserve"> - </v>
      </c>
      <c r="AQ19" s="888">
        <f>IF(OR(ISNUMBER(FIND("01",Criterios!A8,1)),ISNUMBER(FIND("02",Criterios!A8,1)),ISNUMBER(FIND("03",Criterios!A8,1)),ISNUMBER(FIND("04",Criterios!A8,1))),(I19-W19+K19)/(F19-K19),(H19-W19+K19)/(F19-K19))</f>
        <v>-0.91758733950432969</v>
      </c>
      <c r="AR19" s="889">
        <f>IF(ISNUMBER((Datos!P19-Datos!Q19)/(Datos!R19-Datos!P19+Datos!Q19)),(Datos!P19-Datos!Q19)/(Datos!R19-Datos!P19+Datos!Q19)," - ")</f>
        <v>-5.0223214285714289E-3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1189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2.5055493963954847</v>
      </c>
      <c r="F21" s="252">
        <f>IF(ISNUMBER(STDEV(F8:F18)),STDEV(F8:F18),"-")</f>
        <v>1737.1647302429324</v>
      </c>
      <c r="G21" s="253">
        <f>IF(ISNUMBER(STDEV(G8:G18)),STDEV(G8:G18),"-")</f>
        <v>1648.1647975854842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1404.7631354312607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222.29051133274095</v>
      </c>
      <c r="AJ21" s="252">
        <f t="shared" si="18"/>
        <v>0</v>
      </c>
      <c r="AK21" s="254">
        <f t="shared" si="18"/>
        <v>0</v>
      </c>
      <c r="AL21" s="249">
        <f t="shared" si="18"/>
        <v>7.5183958968969761E-2</v>
      </c>
      <c r="AM21" s="250">
        <f t="shared" si="18"/>
        <v>4.4022959810312683</v>
      </c>
      <c r="AN21" s="250">
        <f t="shared" si="18"/>
        <v>0.2026122239231716</v>
      </c>
      <c r="AO21" s="251">
        <f t="shared" si="18"/>
        <v>1.4719677755895453</v>
      </c>
      <c r="AP21" s="291" t="str">
        <f t="shared" si="18"/>
        <v>-</v>
      </c>
      <c r="AQ21" s="292">
        <f t="shared" si="18"/>
        <v>0.38070771607353487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l/ruLQRt7EYm7jfaP4Me/mP2RpG8mostzaA0nnfPA+hvKD6gm1sAHlyCdugGpyoiPVGRmuoNxFDfIqkQyxokAA==" saltValue="JeHw757+ZEL1H7NoxAhp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ALICANTE-ALACANT</v>
      </c>
      <c r="E3" s="263"/>
    </row>
    <row r="4" spans="2:20" ht="17.25" customHeight="1" thickBot="1">
      <c r="D4" s="262" t="str">
        <f>Criterios!A11 &amp;"  "&amp;Criterios!B11</f>
        <v>Resumenes por Partidos Judiciales  BENIDORM</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8.8383838383838384E-2</v>
      </c>
      <c r="I9" s="350">
        <f>IF(ISNUMBER((Tasas!C9-Datos!BE9)/Datos!BE9),(Tasas!C9-Datos!BE9)/Datos!BE9," - ")</f>
        <v>0.60696438486555104</v>
      </c>
      <c r="J9" s="349">
        <f>IF(ISNUMBER((Tasas!D9-Datos!BF9)/Datos!BF9),(Tasas!D9-Datos!BF9)/Datos!BF9," - ")</f>
        <v>-0.3363558597091531</v>
      </c>
      <c r="K9" s="351">
        <f>IF(ISNUMBER((Tasas!E9-Datos!BG9)/Datos!BG9),(Tasas!E9-Datos!BG9)/Datos!BG9," - ")</f>
        <v>0.43177197078093221</v>
      </c>
      <c r="M9" t="e">
        <f>IF(Monitorios="SI",Datos!CE9,0)</f>
        <v>#REF!</v>
      </c>
      <c r="N9" t="e">
        <f>IF(Monitorios="SI",Datos!CF9,0)</f>
        <v>#REF!</v>
      </c>
      <c r="O9" t="e">
        <f>IF(Monitorios="SI",Datos!CG9,0)</f>
        <v>#REF!</v>
      </c>
      <c r="P9" t="e">
        <f>IF(Monitorios="SI",Datos!CH9,0)</f>
        <v>#REF!</v>
      </c>
      <c r="Q9">
        <f>IF(J_V="SI",0,Datos!AG9)</f>
        <v>172</v>
      </c>
      <c r="R9">
        <f>IF(J_V="SI",0,Datos!AH9)</f>
        <v>89</v>
      </c>
      <c r="S9">
        <f>IF(J_V="SI",0,Datos!AI9)</f>
        <v>111</v>
      </c>
      <c r="T9">
        <f>IF(J_V="SI",0,Datos!AJ9)</f>
        <v>150</v>
      </c>
    </row>
    <row r="10" spans="2:20" ht="14.25">
      <c r="B10" s="275" t="s">
        <v>246</v>
      </c>
      <c r="C10" s="7" t="str">
        <f>Datos!A10</f>
        <v>Jdos. Violencia contra la mujer</v>
      </c>
      <c r="D10" s="352">
        <f>IF(ISNUMBER((Datos!I10-Datos!S10)/Datos!S10),(Datos!I10-Datos!S10)/Datos!S10," - ")</f>
        <v>1.0784313725490196</v>
      </c>
      <c r="E10" s="348">
        <f>IF(ISNUMBER((Datos!J10-Datos!T10)/Datos!T10),(Datos!J10-Datos!T10)/Datos!T10," - ")</f>
        <v>7.6923076923076927E-2</v>
      </c>
      <c r="F10" s="348">
        <f>IF(ISNUMBER((Datos!K10-Datos!U10)/Datos!U10),(Datos!K10-Datos!U10)/Datos!U10," - ")</f>
        <v>0.82608695652173914</v>
      </c>
      <c r="G10" s="349">
        <f>IF(ISNUMBER((Datos!L10-Datos!V10)/Datos!V10),(Datos!L10-Datos!V10)/Datos!V10," - ")</f>
        <v>0.58208955223880599</v>
      </c>
      <c r="H10" s="230">
        <f>IF(ISNUMBER((Datos!M10-Datos!W10)/Datos!W10),(Datos!M10-Datos!W10)/Datos!W10," - ")</f>
        <v>4.4000000000000004</v>
      </c>
      <c r="I10" s="350">
        <f>IF(ISNUMBER((Tasas!C10-Datos!BE10)/Datos!BE10),(Tasas!C10-Datos!BE10)/Datos!BE10," - ")</f>
        <v>-0.13361762615493963</v>
      </c>
      <c r="J10" s="349">
        <f>IF(ISNUMBER((Tasas!D10-Datos!BF10)/Datos!BF10),(Tasas!D10-Datos!BF10)/Datos!BF10," - ")</f>
        <v>1.9571428571428575</v>
      </c>
      <c r="K10" s="351">
        <f>IF(ISNUMBER((Tasas!E10-Datos!BG10)/Datos!BG10),(Tasas!E10-Datos!BG10)/Datos!BG10," - ")</f>
        <v>-9.9470899470899501E-2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0.14214463840399003</v>
      </c>
      <c r="I13" s="357">
        <f>IF(ISNUMBER((Tasas!C13-Datos!BE13)/Datos!BE13),(Tasas!C13-Datos!BE13)/Datos!BE13," - ")</f>
        <v>0.58772348732384927</v>
      </c>
      <c r="J13" s="355">
        <f>IF(ISNUMBER((Tasas!D13-Datos!BF13)/Datos!BF13),(Tasas!D13-Datos!BF13)/Datos!BF13," - ")</f>
        <v>-0.30946923181880193</v>
      </c>
      <c r="K13" s="358">
        <f>IF(ISNUMBER((Tasas!E13-Datos!BG13)/Datos!BG13),(Tasas!E13-Datos!BG13)/Datos!BG13," - ")</f>
        <v>0.41835377865329504</v>
      </c>
      <c r="M13" t="e">
        <f>IF(Monitorios="SI",Datos!CE13,0)</f>
        <v>#REF!</v>
      </c>
      <c r="N13" t="e">
        <f>IF(Monitorios="SI",Datos!CF13,0)</f>
        <v>#REF!</v>
      </c>
      <c r="O13" t="e">
        <f>IF(Monitorios="SI",Datos!CG13,0)</f>
        <v>#REF!</v>
      </c>
      <c r="P13" t="e">
        <f>IF(Monitorios="SI",Datos!CH13,0)</f>
        <v>#REF!</v>
      </c>
      <c r="Q13">
        <f>IF(J_V="SI",0,Datos!AG13)</f>
        <v>172</v>
      </c>
      <c r="R13">
        <f>IF(J_V="SI",0,Datos!AH13)</f>
        <v>89</v>
      </c>
      <c r="S13">
        <f>IF(J_V="SI",0,Datos!AI13)</f>
        <v>111</v>
      </c>
      <c r="T13">
        <f>IF(J_V="SI",0,Datos!AJ13)</f>
        <v>150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0.35886402753872632</v>
      </c>
      <c r="E15" s="348">
        <f>IF(ISNUMBER(
   IF(D_I="SI",(Datos!J15-Datos!T15)/Datos!T15,(Datos!J15+Datos!AD15-(Datos!T15+Datos!AL15))/(Datos!T15+Datos!AL15))
     ),IF(D_I="SI",(Datos!J15-Datos!T15)/Datos!T15,(Datos!J15+Datos!AD15-(Datos!T15+Datos!AL15))/(Datos!T15+Datos!AL15))," - ")</f>
        <v>0.16068996822514753</v>
      </c>
      <c r="F15" s="348">
        <f>IF(ISNUMBER(
   IF(D_I="SI",(Datos!K15-Datos!U15)/Datos!U15,(Datos!K15+Datos!AE15-(Datos!U15+Datos!AM15))/(Datos!U15+Datos!AM15))
     ),IF(D_I="SI",(Datos!K15-Datos!U15)/Datos!U15,(Datos!K15+Datos!AE15-(Datos!U15+Datos!AM15))/(Datos!U15+Datos!AM15))," - ")</f>
        <v>0.4124661246612466</v>
      </c>
      <c r="G15" s="349">
        <f>IF(ISNUMBER(
   IF(D_I="SI",(Datos!L15-Datos!V15)/Datos!V15,(Datos!L15+Datos!AF15-(Datos!V15+Datos!AN15))/(Datos!V15+Datos!AN15))
     ),IF(D_I="SI",(Datos!L15-Datos!V15)/Datos!V15,(Datos!L15+Datos!AF15-(Datos!V15+Datos!AN15))/(Datos!V15+Datos!AN15))," - ")</f>
        <v>0.17960088691796008</v>
      </c>
      <c r="H15" s="230">
        <f>IF(ISNUMBER((Datos!M15-Datos!W15)/Datos!W15),(Datos!M15-Datos!W15)/Datos!W15," - ")</f>
        <v>0.24213836477987422</v>
      </c>
      <c r="I15" s="350">
        <f>IF(ISNUMBER((Tasas!C15-Datos!BE15)/Datos!BE15),(Tasas!C15-Datos!BE15)/Datos!BE15," - ")</f>
        <v>-0.16486429916974804</v>
      </c>
      <c r="J15" s="349">
        <f>IF(ISNUMBER((Tasas!D15-Datos!BF15)/Datos!BF15),(Tasas!D15-Datos!BF15)/Datos!BF15," - ")</f>
        <v>-0.12058891672338143</v>
      </c>
      <c r="K15" s="351">
        <f>IF(ISNUMBER((Tasas!E15-Datos!BG15)/Datos!BG15),(Tasas!E15-Datos!BG15)/Datos!BG15," - ")</f>
        <v>-0.10622603595617397</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0</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0.56770833333333337</v>
      </c>
      <c r="E17" s="348">
        <f>IF(ISNUMBER(
   IF(D_I="SI",(Datos!J17-Datos!T17)/Datos!T17,(Datos!J17+Datos!AD17-(Datos!T17+Datos!AL17))/(Datos!T17+Datos!AL17))
     ),IF(D_I="SI",(Datos!J17-Datos!T17)/Datos!T17,(Datos!J17+Datos!AD17-(Datos!T17+Datos!AL17))/(Datos!T17+Datos!AL17))," - ")</f>
        <v>-4.6025104602510462E-2</v>
      </c>
      <c r="F17" s="348">
        <f>IF(ISNUMBER(
   IF(D_I="SI",(Datos!K17-Datos!U17)/Datos!U17,(Datos!K17+Datos!AE17-(Datos!U17+Datos!AM17))/(Datos!U17+Datos!AM17))
     ),IF(D_I="SI",(Datos!K17-Datos!U17)/Datos!U17,(Datos!K17+Datos!AE17-(Datos!U17+Datos!AM17))/(Datos!U17+Datos!AM17))," - ")</f>
        <v>-6.3876651982378851E-2</v>
      </c>
      <c r="G17" s="349">
        <f>IF(ISNUMBER(
   IF(D_I="SI",(Datos!L17-Datos!V17)/Datos!V17,(Datos!L17+Datos!AF17-(Datos!V17+Datos!AN17))/(Datos!V17+Datos!AN17))
     ),IF(D_I="SI",(Datos!L17-Datos!V17)/Datos!V17,(Datos!L17+Datos!AF17-(Datos!V17+Datos!AN17))/(Datos!V17+Datos!AN17))," - ")</f>
        <v>0.52995391705069128</v>
      </c>
      <c r="H17" s="230">
        <f>IF(ISNUMBER((Datos!M17-Datos!W17)/Datos!W17),(Datos!M17-Datos!W17)/Datos!W17," - ")</f>
        <v>-6.4516129032258063E-2</v>
      </c>
      <c r="I17" s="350">
        <f>IF(ISNUMBER((Tasas!C17-Datos!BE17)/Datos!BE17),(Tasas!C17-Datos!BE17)/Datos!BE17," - ")</f>
        <v>0.63435077256709127</v>
      </c>
      <c r="J17" s="349">
        <f>IF(ISNUMBER((Tasas!D17-Datos!BF17)/Datos!BF17),(Tasas!D17-Datos!BF17)/Datos!BF17," - ")</f>
        <v>-6.8311195445922457E-4</v>
      </c>
      <c r="K17" s="351">
        <f>IF(ISNUMBER((Tasas!E17-Datos!BG17)/Datos!BG17),(Tasas!E17-Datos!BG17)/Datos!BG17," - ")</f>
        <v>0.20694644424934164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0.37450357426528991</v>
      </c>
      <c r="E18" s="354">
        <f>IF(ISNUMBER(
   IF(D_I="SI",(Datos!J18-Datos!T18)/Datos!T18,(Datos!J18+Datos!AD18-(Datos!T18+Datos!AL18))/(Datos!T18+Datos!AL18))
     ),IF(D_I="SI",(Datos!J18-Datos!T18)/Datos!T18,(Datos!J18+Datos!AD18-(Datos!T18+Datos!AL18))/(Datos!T18+Datos!AL18))," - ")</f>
        <v>0.12383439015292801</v>
      </c>
      <c r="F18" s="354">
        <f>IF(ISNUMBER(
   IF(D_I="SI",(Datos!K18-Datos!U18)/Datos!U18,(Datos!K18+Datos!AE18-(Datos!U18+Datos!AM18))/(Datos!U18+Datos!AM18))
     ),IF(D_I="SI",(Datos!K18-Datos!U18)/Datos!U18,(Datos!K18+Datos!AE18-(Datos!U18+Datos!AM18))/(Datos!U18+Datos!AM18))," - ")</f>
        <v>0.31839930404523709</v>
      </c>
      <c r="G18" s="355">
        <f>IF(ISNUMBER(
   IF(D_I="SI",(Datos!L18-Datos!V18)/Datos!V18,(Datos!L18+Datos!AF18-(Datos!V18+Datos!AN18))/(Datos!V18+Datos!AN18))
     ),IF(D_I="SI",(Datos!L18-Datos!V18)/Datos!V18,(Datos!L18+Datos!AF18-(Datos!V18+Datos!AN18))/(Datos!V18+Datos!AN18))," - ")</f>
        <v>0.20547008547008547</v>
      </c>
      <c r="H18" s="356">
        <f>IF(ISNUMBER((Datos!M18-Datos!W18)/Datos!W18),(Datos!M18-Datos!W18)/Datos!W18," - ")</f>
        <v>0.19210526315789472</v>
      </c>
      <c r="I18" s="357">
        <f>IF(ISNUMBER((Tasas!C18-Datos!BE18)/Datos!BE18),(Tasas!C18-Datos!BE18)/Datos!BE18," - ")</f>
        <v>-8.5656309305270115E-2</v>
      </c>
      <c r="J18" s="355">
        <f>IF(ISNUMBER((Tasas!D18-Datos!BF18)/Datos!BF18),(Tasas!D18-Datos!BF18)/Datos!BF18," - ")</f>
        <v>-9.5793467502474514E-2</v>
      </c>
      <c r="K18" s="358">
        <f>IF(ISNUMBER((Tasas!E18-Datos!BG18)/Datos!BG18),(Tasas!E18-Datos!BG18)/Datos!BG18," - ")</f>
        <v>-5.5491408932091119E-2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0.22839960726558664</v>
      </c>
      <c r="E19" s="363">
        <f>IF(ISNUMBER(
   IF(J_V="SI",(Datos!J19-Datos!T19)/Datos!T19,(Datos!J19+Datos!Z19-(Datos!T19+Datos!AH19))/(Datos!T19+Datos!AH19))
     ),IF(J_V="SI",(Datos!J19-Datos!T19)/Datos!T19,(Datos!J19+Datos!Z19-(Datos!T19+Datos!AH19))/(Datos!T19+Datos!AH19))," - ")</f>
        <v>7.080955400549567E-2</v>
      </c>
      <c r="F19" s="363">
        <f>IF(ISNUMBER(
   IF(J_V="SI",(Datos!K19-Datos!U19)/Datos!U19,(Datos!K19+Datos!AA19-(Datos!U19+Datos!AI19))/(Datos!U19+Datos!AI19))
     ),IF(J_V="SI",(Datos!K19-Datos!U19)/Datos!U19,(Datos!K19+Datos!AA19-(Datos!U19+Datos!AI19))/(Datos!U19+Datos!AI19))," - ")</f>
        <v>5.9214903526280775E-2</v>
      </c>
      <c r="G19" s="364">
        <f>IF(ISNUMBER(
   IF(J_V="SI",(Datos!L19-Datos!V19)/Datos!V19,(Datos!L19+Datos!AB19-(Datos!V19+Datos!AJ19))/(Datos!V19+Datos!AJ19))
     ),IF(J_V="SI",(Datos!L19-Datos!V19)/Datos!V19,(Datos!L19+Datos!AB19-(Datos!V19+Datos!AJ19))/(Datos!V19+Datos!AJ19))," - ")</f>
        <v>0.23687031082529475</v>
      </c>
      <c r="H19" s="365">
        <f>IF(ISNUMBER((Datos!M19-Datos!W19)/Datos!W19),(Datos!M19-Datos!W19)/Datos!W19," - ")</f>
        <v>0.16645326504481434</v>
      </c>
      <c r="I19" s="362">
        <f>IF(ISNUMBER((Tasas!C19-Datos!BE19)/Datos!BE19),(Tasas!C19-Datos!BE19)/Datos!BE19," - ")</f>
        <v>0.16772366656433296</v>
      </c>
      <c r="J19" s="363">
        <f>IF(ISNUMBER((Tasas!D19-Datos!BF19)/Datos!BF19),(Tasas!D19-Datos!BF19)/Datos!BF19," - ")</f>
        <v>-0.29502378696762505</v>
      </c>
      <c r="K19" s="364">
        <f>IF(ISNUMBER((Tasas!E19-Datos!BG19)/Datos!BG19),(Tasas!E19-Datos!BG19)/Datos!BG19," - ")</f>
        <v>0.10507332258778156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0.39431341879471338</v>
      </c>
      <c r="E21" s="278">
        <f t="shared" si="1"/>
        <v>9.0034956940607785E-2</v>
      </c>
      <c r="F21" s="278">
        <f t="shared" si="1"/>
        <v>0.36546204586864295</v>
      </c>
      <c r="G21" s="279">
        <f t="shared" si="1"/>
        <v>0.24793320941931851</v>
      </c>
      <c r="H21" s="285">
        <f t="shared" si="1"/>
        <v>1.7504640098047251</v>
      </c>
      <c r="I21" s="277">
        <f t="shared" si="1"/>
        <v>0.40512720866174817</v>
      </c>
      <c r="J21" s="278">
        <f t="shared" si="1"/>
        <v>0.87902997712660458</v>
      </c>
      <c r="K21" s="279">
        <f t="shared" si="1"/>
        <v>0.25414941526807749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kJZwWF37RNjR7BDUZL7rS/4cUTYsF6viGrOFs1TKz492FBWJkzIL/1e3vXen2KI7NkW/6Ff56wQ1G24FQk8MQ==" saltValue="U1TTMS2tJoUcHqpowe8QC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